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4400" windowHeight="12855" tabRatio="932"/>
  </bookViews>
  <sheets>
    <sheet name="Network" sheetId="51" r:id="rId1"/>
  </sheets>
  <definedNames>
    <definedName name="Printarea" localSheetId="0">#REF!</definedName>
    <definedName name="Printarea">#REF!</definedName>
    <definedName name="Printthis" localSheetId="0">#REF!</definedName>
    <definedName name="Printthis">#REF!</definedName>
  </definedNames>
  <calcPr calcId="125725"/>
</workbook>
</file>

<file path=xl/calcChain.xml><?xml version="1.0" encoding="utf-8"?>
<calcChain xmlns="http://schemas.openxmlformats.org/spreadsheetml/2006/main">
  <c r="J100" i="51"/>
  <c r="K100" s="1"/>
  <c r="L100" s="1"/>
  <c r="M100" s="1"/>
  <c r="N100" s="1"/>
  <c r="O100" s="1"/>
  <c r="P100" s="1"/>
  <c r="Q100" s="1"/>
  <c r="R100" s="1"/>
  <c r="S100" s="1"/>
  <c r="T100" s="1"/>
  <c r="U100" s="1"/>
  <c r="V100" s="1"/>
  <c r="W100" s="1"/>
  <c r="X100" s="1"/>
  <c r="Y100" s="1"/>
  <c r="Z100" s="1"/>
  <c r="AA100" s="1"/>
  <c r="AB100" s="1"/>
  <c r="AC100" s="1"/>
  <c r="AD100" s="1"/>
  <c r="AE100" s="1"/>
  <c r="AF100" s="1"/>
  <c r="AG100" s="1"/>
  <c r="AH100" s="1"/>
  <c r="AI100" s="1"/>
  <c r="AJ100" s="1"/>
  <c r="AK100" s="1"/>
  <c r="AL100" s="1"/>
  <c r="AM100" s="1"/>
  <c r="AN100" s="1"/>
  <c r="AO100" s="1"/>
  <c r="AP100" s="1"/>
  <c r="AQ100" s="1"/>
  <c r="AR100" s="1"/>
  <c r="AS100" s="1"/>
  <c r="AT100" s="1"/>
  <c r="AU100" s="1"/>
  <c r="I100"/>
  <c r="H100"/>
  <c r="H18"/>
  <c r="I8" l="1"/>
  <c r="I57" l="1"/>
  <c r="E57"/>
  <c r="F57"/>
  <c r="G57"/>
  <c r="E56"/>
  <c r="F56"/>
  <c r="G56"/>
  <c r="E55"/>
  <c r="F55"/>
  <c r="G55"/>
  <c r="E54"/>
  <c r="E53"/>
  <c r="F53"/>
  <c r="G53"/>
  <c r="E52"/>
  <c r="F52"/>
  <c r="G52"/>
  <c r="E51"/>
  <c r="F51"/>
  <c r="E50"/>
  <c r="F50"/>
  <c r="G50"/>
  <c r="E49"/>
  <c r="F49"/>
  <c r="G49"/>
  <c r="E47"/>
  <c r="F47"/>
  <c r="G47"/>
  <c r="G20"/>
  <c r="G51" s="1"/>
  <c r="H57"/>
  <c r="E12"/>
  <c r="B39"/>
  <c r="E10"/>
  <c r="F10" l="1"/>
  <c r="G10" s="1"/>
  <c r="C96"/>
  <c r="E108"/>
  <c r="H15" l="1"/>
  <c r="H16"/>
  <c r="H96"/>
  <c r="H97" s="1"/>
  <c r="E105"/>
  <c r="C105"/>
  <c r="C106"/>
  <c r="C104"/>
  <c r="H20" l="1"/>
  <c r="I20" s="1"/>
  <c r="J20" s="1"/>
  <c r="K20" s="1"/>
  <c r="L20" s="1"/>
  <c r="M20" s="1"/>
  <c r="N20" s="1"/>
  <c r="O20" s="1"/>
  <c r="P20" s="1"/>
  <c r="Q20" s="1"/>
  <c r="R20" s="1"/>
  <c r="S20" s="1"/>
  <c r="T20" s="1"/>
  <c r="U20" s="1"/>
  <c r="V20" s="1"/>
  <c r="W20" s="1"/>
  <c r="X20" s="1"/>
  <c r="Y20" s="1"/>
  <c r="Z20" s="1"/>
  <c r="AA20" s="1"/>
  <c r="AB20" s="1"/>
  <c r="AC20" s="1"/>
  <c r="AD20" s="1"/>
  <c r="AE20" s="1"/>
  <c r="AF20" s="1"/>
  <c r="AG20" s="1"/>
  <c r="AH20" s="1"/>
  <c r="AI20" s="1"/>
  <c r="AJ20" s="1"/>
  <c r="AK20" s="1"/>
  <c r="AL20" s="1"/>
  <c r="AM20" s="1"/>
  <c r="AN20" s="1"/>
  <c r="AO20" s="1"/>
  <c r="AP20" s="1"/>
  <c r="AQ20" s="1"/>
  <c r="AR20" s="1"/>
  <c r="AS20" s="1"/>
  <c r="AT20" s="1"/>
  <c r="AU20" s="1"/>
  <c r="H48" l="1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F13"/>
  <c r="G13" s="1"/>
  <c r="G48" s="1"/>
  <c r="B12"/>
  <c r="E48" l="1"/>
  <c r="F48"/>
  <c r="B13"/>
  <c r="I96" l="1"/>
  <c r="I97" s="1"/>
  <c r="J96" l="1"/>
  <c r="J97" s="1"/>
  <c r="K96" l="1"/>
  <c r="K97" s="1"/>
  <c r="L96" l="1"/>
  <c r="L97" s="1"/>
  <c r="M96" l="1"/>
  <c r="M97" s="1"/>
  <c r="N96" l="1"/>
  <c r="N97" s="1"/>
  <c r="H22"/>
  <c r="O96" l="1"/>
  <c r="O97" s="1"/>
  <c r="D94"/>
  <c r="D93"/>
  <c r="C94"/>
  <c r="C93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H94" l="1"/>
  <c r="I94" s="1"/>
  <c r="J94" s="1"/>
  <c r="K94" s="1"/>
  <c r="L94" s="1"/>
  <c r="M94" s="1"/>
  <c r="N94" s="1"/>
  <c r="O94" s="1"/>
  <c r="P94" s="1"/>
  <c r="Q94" s="1"/>
  <c r="R94" s="1"/>
  <c r="S94" s="1"/>
  <c r="T94" s="1"/>
  <c r="U94" s="1"/>
  <c r="V94" s="1"/>
  <c r="W94" s="1"/>
  <c r="X94" s="1"/>
  <c r="Y94" s="1"/>
  <c r="Z94" s="1"/>
  <c r="AA94" s="1"/>
  <c r="AB94" s="1"/>
  <c r="AC94" s="1"/>
  <c r="AD94" s="1"/>
  <c r="AE94" s="1"/>
  <c r="AF94" s="1"/>
  <c r="AG94" s="1"/>
  <c r="AH94" s="1"/>
  <c r="AI94" s="1"/>
  <c r="AJ94" s="1"/>
  <c r="AK94" s="1"/>
  <c r="AL94" s="1"/>
  <c r="AM94" s="1"/>
  <c r="AN94" s="1"/>
  <c r="AO94" s="1"/>
  <c r="AP94" s="1"/>
  <c r="AQ94" s="1"/>
  <c r="AR94" s="1"/>
  <c r="AS94" s="1"/>
  <c r="AT94" s="1"/>
  <c r="AU94" s="1"/>
  <c r="H93"/>
  <c r="I93" s="1"/>
  <c r="J93" s="1"/>
  <c r="K93" s="1"/>
  <c r="L93" s="1"/>
  <c r="M93" s="1"/>
  <c r="N93" s="1"/>
  <c r="O93" s="1"/>
  <c r="P93" s="1"/>
  <c r="Q93" s="1"/>
  <c r="R93" s="1"/>
  <c r="S93" s="1"/>
  <c r="T93" s="1"/>
  <c r="U93" s="1"/>
  <c r="V93" s="1"/>
  <c r="W93" s="1"/>
  <c r="X93" s="1"/>
  <c r="Y93" s="1"/>
  <c r="Z93" s="1"/>
  <c r="AA93" s="1"/>
  <c r="AB93" s="1"/>
  <c r="AC93" s="1"/>
  <c r="AD93" s="1"/>
  <c r="AE93" s="1"/>
  <c r="AF93" s="1"/>
  <c r="AG93" s="1"/>
  <c r="AH93" s="1"/>
  <c r="AI93" s="1"/>
  <c r="AJ93" s="1"/>
  <c r="AK93" s="1"/>
  <c r="AL93" s="1"/>
  <c r="AM93" s="1"/>
  <c r="AN93" s="1"/>
  <c r="AO93" s="1"/>
  <c r="AP93" s="1"/>
  <c r="AQ93" s="1"/>
  <c r="AR93" s="1"/>
  <c r="AS93" s="1"/>
  <c r="AT93" s="1"/>
  <c r="AU93" s="1"/>
  <c r="P96"/>
  <c r="P97" s="1"/>
  <c r="Q96" l="1"/>
  <c r="Q97" s="1"/>
  <c r="I23"/>
  <c r="I53" s="1"/>
  <c r="J23"/>
  <c r="J53" s="1"/>
  <c r="K23"/>
  <c r="K53" s="1"/>
  <c r="L23"/>
  <c r="L53" s="1"/>
  <c r="M23"/>
  <c r="M53" s="1"/>
  <c r="N23"/>
  <c r="N53" s="1"/>
  <c r="O23"/>
  <c r="O53" s="1"/>
  <c r="P23"/>
  <c r="P53" s="1"/>
  <c r="Q23"/>
  <c r="Q53" s="1"/>
  <c r="R23"/>
  <c r="R53" s="1"/>
  <c r="S23"/>
  <c r="S53" s="1"/>
  <c r="T23"/>
  <c r="T53" s="1"/>
  <c r="H23"/>
  <c r="H53" s="1"/>
  <c r="D22"/>
  <c r="R96" l="1"/>
  <c r="R97" s="1"/>
  <c r="S96" l="1"/>
  <c r="S97" s="1"/>
  <c r="T96" l="1"/>
  <c r="T97" s="1"/>
  <c r="U96" l="1"/>
  <c r="U97" s="1"/>
  <c r="P72" l="1"/>
  <c r="R73"/>
  <c r="AO72"/>
  <c r="AM73"/>
  <c r="W73"/>
  <c r="AT72"/>
  <c r="AD72"/>
  <c r="AU73"/>
  <c r="AE73"/>
  <c r="O73"/>
  <c r="AL72"/>
  <c r="AT73"/>
  <c r="AL73"/>
  <c r="AD73"/>
  <c r="AS72"/>
  <c r="U72"/>
  <c r="N73"/>
  <c r="AK72"/>
  <c r="M72"/>
  <c r="H73"/>
  <c r="V73"/>
  <c r="AC72"/>
  <c r="V96"/>
  <c r="V97" s="1"/>
  <c r="AR73"/>
  <c r="AJ73"/>
  <c r="AB73"/>
  <c r="T73"/>
  <c r="L73"/>
  <c r="AQ72"/>
  <c r="AI72"/>
  <c r="AA72"/>
  <c r="S72"/>
  <c r="K72"/>
  <c r="AI73"/>
  <c r="AA73"/>
  <c r="K73"/>
  <c r="AP72"/>
  <c r="AH72"/>
  <c r="Z72"/>
  <c r="R72"/>
  <c r="J72"/>
  <c r="AQ73"/>
  <c r="S73"/>
  <c r="H72"/>
  <c r="AG73"/>
  <c r="Y73"/>
  <c r="Q73"/>
  <c r="I73"/>
  <c r="AN72"/>
  <c r="AF72"/>
  <c r="X72"/>
  <c r="AO73"/>
  <c r="AN73"/>
  <c r="AF73"/>
  <c r="X73"/>
  <c r="P73"/>
  <c r="AU72"/>
  <c r="AM72"/>
  <c r="AE72"/>
  <c r="W72"/>
  <c r="AP73"/>
  <c r="AH73"/>
  <c r="Z73"/>
  <c r="J73"/>
  <c r="AG72"/>
  <c r="Y72"/>
  <c r="Q72"/>
  <c r="I72"/>
  <c r="O72"/>
  <c r="V72"/>
  <c r="N72"/>
  <c r="AS73"/>
  <c r="AK73"/>
  <c r="AC73"/>
  <c r="U73"/>
  <c r="M73"/>
  <c r="AR72"/>
  <c r="AJ72"/>
  <c r="AB72"/>
  <c r="T72"/>
  <c r="L72"/>
  <c r="X65"/>
  <c r="AI65"/>
  <c r="U65"/>
  <c r="AS65"/>
  <c r="AU65"/>
  <c r="W65"/>
  <c r="AH65"/>
  <c r="AR65"/>
  <c r="Z65"/>
  <c r="AM65"/>
  <c r="AF65"/>
  <c r="S65"/>
  <c r="R65"/>
  <c r="M65"/>
  <c r="AA65"/>
  <c r="AG65"/>
  <c r="AK65"/>
  <c r="AJ65"/>
  <c r="AL65"/>
  <c r="AP65"/>
  <c r="AB65"/>
  <c r="V65"/>
  <c r="O65"/>
  <c r="P65"/>
  <c r="AE65"/>
  <c r="Q65"/>
  <c r="AT65"/>
  <c r="L65"/>
  <c r="AN65"/>
  <c r="AD65"/>
  <c r="J65"/>
  <c r="T65"/>
  <c r="I65"/>
  <c r="Y65"/>
  <c r="N65"/>
  <c r="AQ65"/>
  <c r="AC65"/>
  <c r="AO65"/>
  <c r="W96" l="1"/>
  <c r="W97" s="1"/>
  <c r="K65"/>
  <c r="H65"/>
  <c r="X96" l="1"/>
  <c r="X97" s="1"/>
  <c r="H66"/>
  <c r="Y96" l="1"/>
  <c r="Y97" s="1"/>
  <c r="I66"/>
  <c r="Z96" l="1"/>
  <c r="Z97" s="1"/>
  <c r="J66"/>
  <c r="AA96" l="1"/>
  <c r="AA97" s="1"/>
  <c r="K66"/>
  <c r="AB96" l="1"/>
  <c r="AB97" s="1"/>
  <c r="L66"/>
  <c r="AC96" l="1"/>
  <c r="AC97" s="1"/>
  <c r="M66"/>
  <c r="AD96" l="1"/>
  <c r="AD97" s="1"/>
  <c r="S66"/>
  <c r="N66"/>
  <c r="AE96" l="1"/>
  <c r="AE97" s="1"/>
  <c r="T66"/>
  <c r="O66"/>
  <c r="AF96" l="1"/>
  <c r="AF97" s="1"/>
  <c r="P66"/>
  <c r="U66"/>
  <c r="AG96" l="1"/>
  <c r="AG97" s="1"/>
  <c r="R66"/>
  <c r="Q66"/>
  <c r="V66"/>
  <c r="AH96" l="1"/>
  <c r="AH97" s="1"/>
  <c r="W66"/>
  <c r="AI96" l="1"/>
  <c r="AI97" s="1"/>
  <c r="X66"/>
  <c r="AJ96" l="1"/>
  <c r="AJ97" s="1"/>
  <c r="Y66"/>
  <c r="AK96" l="1"/>
  <c r="AK97" s="1"/>
  <c r="Z66"/>
  <c r="AL96" l="1"/>
  <c r="AL97" s="1"/>
  <c r="AA66"/>
  <c r="AM96" l="1"/>
  <c r="AM97" s="1"/>
  <c r="AB66"/>
  <c r="AN96" l="1"/>
  <c r="AN97" s="1"/>
  <c r="AC66"/>
  <c r="AO96" l="1"/>
  <c r="AO97" s="1"/>
  <c r="AD66"/>
  <c r="AK66"/>
  <c r="AP96" l="1"/>
  <c r="AP97" s="1"/>
  <c r="AL66"/>
  <c r="AE66"/>
  <c r="AQ96" l="1"/>
  <c r="AQ97" s="1"/>
  <c r="AM66"/>
  <c r="AF66"/>
  <c r="AR96" l="1"/>
  <c r="AR97" s="1"/>
  <c r="AG66"/>
  <c r="AN66"/>
  <c r="AS96" l="1"/>
  <c r="AS97" s="1"/>
  <c r="AO66"/>
  <c r="AH66"/>
  <c r="AT96" l="1"/>
  <c r="AT97" s="1"/>
  <c r="AI66"/>
  <c r="AJ66"/>
  <c r="AP66"/>
  <c r="AU96" l="1"/>
  <c r="AU97" s="1"/>
  <c r="AQ66"/>
  <c r="AR66" l="1"/>
  <c r="AS66" l="1"/>
  <c r="AT66" l="1"/>
  <c r="AU66"/>
  <c r="U23" l="1"/>
  <c r="U53" s="1"/>
  <c r="V23" l="1"/>
  <c r="V53" s="1"/>
  <c r="W23"/>
  <c r="W53" s="1"/>
  <c r="X23"/>
  <c r="X53" s="1"/>
  <c r="Y23"/>
  <c r="Y53" s="1"/>
  <c r="Z23"/>
  <c r="Z53" s="1"/>
  <c r="AA23"/>
  <c r="AA53" s="1"/>
  <c r="AB23"/>
  <c r="AB53" s="1"/>
  <c r="AC23"/>
  <c r="AC53" s="1"/>
  <c r="AD23"/>
  <c r="AD53" s="1"/>
  <c r="AE23"/>
  <c r="AE53" s="1"/>
  <c r="AF23"/>
  <c r="AF53" s="1"/>
  <c r="AG23"/>
  <c r="AG53" s="1"/>
  <c r="AH23"/>
  <c r="AH53" s="1"/>
  <c r="AI23"/>
  <c r="AI53" s="1"/>
  <c r="AJ23"/>
  <c r="AJ53" s="1"/>
  <c r="AK23"/>
  <c r="AK53" s="1"/>
  <c r="AL23"/>
  <c r="AL53" s="1"/>
  <c r="AM23"/>
  <c r="AM53" s="1"/>
  <c r="AN23"/>
  <c r="AN53" s="1"/>
  <c r="AO23"/>
  <c r="AO53" s="1"/>
  <c r="AP23"/>
  <c r="AP53" s="1"/>
  <c r="AQ23"/>
  <c r="AQ53" s="1"/>
  <c r="AR23"/>
  <c r="AR53" s="1"/>
  <c r="AS23"/>
  <c r="AS53" s="1"/>
  <c r="AT23"/>
  <c r="AT53" s="1"/>
  <c r="AU23"/>
  <c r="AU53" s="1"/>
  <c r="B23" l="1"/>
  <c r="H21" l="1"/>
  <c r="G2" l="1"/>
  <c r="H74" l="1"/>
  <c r="H75"/>
  <c r="I75" l="1"/>
  <c r="I74"/>
  <c r="J75" l="1"/>
  <c r="J74"/>
  <c r="K74" l="1"/>
  <c r="K75"/>
  <c r="L75" l="1"/>
  <c r="L74"/>
  <c r="M74" l="1"/>
  <c r="M75"/>
  <c r="N74" l="1"/>
  <c r="N75"/>
  <c r="S74"/>
  <c r="S75"/>
  <c r="O74" l="1"/>
  <c r="O75"/>
  <c r="T74"/>
  <c r="T75"/>
  <c r="U74" l="1"/>
  <c r="U75"/>
  <c r="P74"/>
  <c r="P75"/>
  <c r="R75" l="1"/>
  <c r="R74"/>
  <c r="V75"/>
  <c r="V74"/>
  <c r="Q74"/>
  <c r="Q75"/>
  <c r="W74" l="1"/>
  <c r="W75"/>
  <c r="X74" l="1"/>
  <c r="X75"/>
  <c r="Y74" l="1"/>
  <c r="Y75"/>
  <c r="Z75" l="1"/>
  <c r="Z74"/>
  <c r="AA74" l="1"/>
  <c r="AA75"/>
  <c r="AB75" l="1"/>
  <c r="AB74"/>
  <c r="AC75" l="1"/>
  <c r="AC74"/>
  <c r="AK74" l="1"/>
  <c r="AK75"/>
  <c r="AD74"/>
  <c r="AD75"/>
  <c r="AL75" l="1"/>
  <c r="AL74"/>
  <c r="AE75"/>
  <c r="AE74"/>
  <c r="AF75" l="1"/>
  <c r="AF74"/>
  <c r="AM75"/>
  <c r="AM74"/>
  <c r="AN74" l="1"/>
  <c r="AN75"/>
  <c r="AG74"/>
  <c r="AG75"/>
  <c r="AO75" l="1"/>
  <c r="AO74"/>
  <c r="AH74"/>
  <c r="AH75"/>
  <c r="AI75" l="1"/>
  <c r="AI74"/>
  <c r="AP74"/>
  <c r="AP75"/>
  <c r="AJ74"/>
  <c r="AJ75"/>
  <c r="AQ75" l="1"/>
  <c r="AQ74"/>
  <c r="AR74" l="1"/>
  <c r="AR75"/>
  <c r="AS74" l="1"/>
  <c r="AS75"/>
  <c r="AU74" l="1"/>
  <c r="AU75"/>
  <c r="AT75"/>
  <c r="AT74"/>
  <c r="H28" l="1"/>
  <c r="H27"/>
  <c r="H26" l="1"/>
  <c r="I26" s="1"/>
  <c r="H25"/>
  <c r="I25" s="1"/>
  <c r="H19"/>
  <c r="F9"/>
  <c r="H24" l="1"/>
  <c r="J8" l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J7"/>
  <c r="D17" l="1"/>
  <c r="J25"/>
  <c r="J26"/>
  <c r="K7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D21"/>
  <c r="I21" s="1"/>
  <c r="K26" l="1"/>
  <c r="L26" s="1"/>
  <c r="M26" s="1"/>
  <c r="N26" s="1"/>
  <c r="O26" s="1"/>
  <c r="P26" s="1"/>
  <c r="Q26" s="1"/>
  <c r="R26" s="1"/>
  <c r="S26" s="1"/>
  <c r="T26" s="1"/>
  <c r="U26" s="1"/>
  <c r="V26" s="1"/>
  <c r="W26" s="1"/>
  <c r="X26" s="1"/>
  <c r="Y26" s="1"/>
  <c r="Z26" s="1"/>
  <c r="AA26" s="1"/>
  <c r="AB26" s="1"/>
  <c r="AC26" s="1"/>
  <c r="AD26" s="1"/>
  <c r="AE26" s="1"/>
  <c r="AF26" s="1"/>
  <c r="AG26" s="1"/>
  <c r="AH26" s="1"/>
  <c r="AI26" s="1"/>
  <c r="AJ26" s="1"/>
  <c r="AK26" s="1"/>
  <c r="AL26" s="1"/>
  <c r="AM26" s="1"/>
  <c r="AN26" s="1"/>
  <c r="AO26" s="1"/>
  <c r="AP26" s="1"/>
  <c r="AQ26" s="1"/>
  <c r="AR26" s="1"/>
  <c r="AS26" s="1"/>
  <c r="AT26" s="1"/>
  <c r="AU26" s="1"/>
  <c r="K25"/>
  <c r="L25" s="1"/>
  <c r="M25" s="1"/>
  <c r="N25" s="1"/>
  <c r="O25" s="1"/>
  <c r="P25" s="1"/>
  <c r="Q25" s="1"/>
  <c r="R25" s="1"/>
  <c r="S25" s="1"/>
  <c r="T25" s="1"/>
  <c r="U25" s="1"/>
  <c r="V25" s="1"/>
  <c r="W25" s="1"/>
  <c r="X25" s="1"/>
  <c r="Y25" s="1"/>
  <c r="Z25" s="1"/>
  <c r="AA25" s="1"/>
  <c r="AB25" s="1"/>
  <c r="AC25" s="1"/>
  <c r="AD25" s="1"/>
  <c r="AE25" s="1"/>
  <c r="AF25" s="1"/>
  <c r="AG25" s="1"/>
  <c r="AH25" s="1"/>
  <c r="AI25" s="1"/>
  <c r="AJ25" s="1"/>
  <c r="AK25" s="1"/>
  <c r="AL25" s="1"/>
  <c r="AM25" s="1"/>
  <c r="AN25" s="1"/>
  <c r="AO25" s="1"/>
  <c r="AP25" s="1"/>
  <c r="AQ25" s="1"/>
  <c r="AR25" s="1"/>
  <c r="AS25" s="1"/>
  <c r="AT25" s="1"/>
  <c r="AU25" s="1"/>
  <c r="J21"/>
  <c r="K21" s="1"/>
  <c r="L21" s="1"/>
  <c r="M21" s="1"/>
  <c r="N21" s="1"/>
  <c r="O21" s="1"/>
  <c r="P21" s="1"/>
  <c r="Q21" s="1"/>
  <c r="R21" s="1"/>
  <c r="S21" s="1"/>
  <c r="T21" s="1"/>
  <c r="U21" s="1"/>
  <c r="V21" s="1"/>
  <c r="W21" s="1"/>
  <c r="X21" s="1"/>
  <c r="Y21" s="1"/>
  <c r="Z21" s="1"/>
  <c r="AA21" s="1"/>
  <c r="AB21" s="1"/>
  <c r="AC21" s="1"/>
  <c r="AD21" s="1"/>
  <c r="AE21" s="1"/>
  <c r="AF21" s="1"/>
  <c r="AG21" s="1"/>
  <c r="AH21" s="1"/>
  <c r="AI21" s="1"/>
  <c r="AJ21" s="1"/>
  <c r="AK21" s="1"/>
  <c r="AL21" s="1"/>
  <c r="AM21" s="1"/>
  <c r="AN21" s="1"/>
  <c r="AO21" s="1"/>
  <c r="AP21" s="1"/>
  <c r="AQ21" s="1"/>
  <c r="AR21" s="1"/>
  <c r="AS21" s="1"/>
  <c r="AT21" s="1"/>
  <c r="AU21" s="1"/>
  <c r="H17" l="1"/>
  <c r="B21"/>
  <c r="E38"/>
  <c r="E39" s="1"/>
  <c r="I17" l="1"/>
  <c r="J17" s="1"/>
  <c r="K17" s="1"/>
  <c r="L17" s="1"/>
  <c r="M17" s="1"/>
  <c r="N17" s="1"/>
  <c r="O17" s="1"/>
  <c r="P17" s="1"/>
  <c r="Q17" s="1"/>
  <c r="R17" s="1"/>
  <c r="S17" s="1"/>
  <c r="T17" s="1"/>
  <c r="U17" s="1"/>
  <c r="V17" s="1"/>
  <c r="W17" s="1"/>
  <c r="X17" s="1"/>
  <c r="Y17" s="1"/>
  <c r="Z17" s="1"/>
  <c r="AA17" s="1"/>
  <c r="AB17" s="1"/>
  <c r="AC17" s="1"/>
  <c r="AD17" s="1"/>
  <c r="AE17" s="1"/>
  <c r="AF17" s="1"/>
  <c r="AG17" s="1"/>
  <c r="AH17" s="1"/>
  <c r="AI17" s="1"/>
  <c r="AJ17" s="1"/>
  <c r="AK17" s="1"/>
  <c r="AL17" s="1"/>
  <c r="AM17" s="1"/>
  <c r="AN17" s="1"/>
  <c r="AO17" s="1"/>
  <c r="AP17" s="1"/>
  <c r="AQ17" s="1"/>
  <c r="AR17" s="1"/>
  <c r="AS17" s="1"/>
  <c r="AT17" s="1"/>
  <c r="AU17" s="1"/>
  <c r="H52" l="1"/>
  <c r="H51"/>
  <c r="C39"/>
  <c r="J18"/>
  <c r="J57" s="1"/>
  <c r="H56"/>
  <c r="I22"/>
  <c r="G14" l="1"/>
  <c r="G54" s="1"/>
  <c r="F54"/>
  <c r="K18"/>
  <c r="K57" s="1"/>
  <c r="I51"/>
  <c r="E61"/>
  <c r="I19"/>
  <c r="J51"/>
  <c r="I52"/>
  <c r="J22"/>
  <c r="H14" l="1"/>
  <c r="I14" s="1"/>
  <c r="J14" s="1"/>
  <c r="E41"/>
  <c r="E11"/>
  <c r="E31" s="1"/>
  <c r="L18"/>
  <c r="L57" s="1"/>
  <c r="I56"/>
  <c r="J19"/>
  <c r="J56" s="1"/>
  <c r="K51"/>
  <c r="J52"/>
  <c r="K22"/>
  <c r="H54" l="1"/>
  <c r="I54"/>
  <c r="F39"/>
  <c r="F11" s="1"/>
  <c r="F31" s="1"/>
  <c r="I15"/>
  <c r="J15" s="1"/>
  <c r="K15" s="1"/>
  <c r="H49"/>
  <c r="F38"/>
  <c r="M18"/>
  <c r="M57" s="1"/>
  <c r="B10"/>
  <c r="F61"/>
  <c r="L51"/>
  <c r="K19"/>
  <c r="K56" s="1"/>
  <c r="J54"/>
  <c r="K14"/>
  <c r="L22"/>
  <c r="K52"/>
  <c r="F41" l="1"/>
  <c r="G39" s="1"/>
  <c r="G11" s="1"/>
  <c r="G31" s="1"/>
  <c r="J49"/>
  <c r="I49"/>
  <c r="N18"/>
  <c r="N57" s="1"/>
  <c r="L19"/>
  <c r="M19" s="1"/>
  <c r="L52"/>
  <c r="M22"/>
  <c r="L15"/>
  <c r="K49"/>
  <c r="L14"/>
  <c r="K54"/>
  <c r="G38" l="1"/>
  <c r="G41" s="1"/>
  <c r="B11"/>
  <c r="O18"/>
  <c r="O57" s="1"/>
  <c r="M51"/>
  <c r="L56"/>
  <c r="M52"/>
  <c r="N22"/>
  <c r="L54"/>
  <c r="M14"/>
  <c r="M56"/>
  <c r="N19"/>
  <c r="L49"/>
  <c r="M15"/>
  <c r="N51"/>
  <c r="P18" l="1"/>
  <c r="P57" s="1"/>
  <c r="G61"/>
  <c r="H38"/>
  <c r="O51"/>
  <c r="M54"/>
  <c r="N14"/>
  <c r="M49"/>
  <c r="N15"/>
  <c r="O22"/>
  <c r="N52"/>
  <c r="N56"/>
  <c r="O19"/>
  <c r="Q18" l="1"/>
  <c r="Q57" s="1"/>
  <c r="H44"/>
  <c r="H59" s="1"/>
  <c r="H42"/>
  <c r="H39"/>
  <c r="H58" s="1"/>
  <c r="O56"/>
  <c r="P19"/>
  <c r="N49"/>
  <c r="O15"/>
  <c r="P22"/>
  <c r="O52"/>
  <c r="O14"/>
  <c r="N54"/>
  <c r="P51"/>
  <c r="R18" l="1"/>
  <c r="R57" s="1"/>
  <c r="I44"/>
  <c r="I59" s="1"/>
  <c r="O54"/>
  <c r="P14"/>
  <c r="Q51"/>
  <c r="P52"/>
  <c r="Q22"/>
  <c r="P15"/>
  <c r="O49"/>
  <c r="P56"/>
  <c r="Q19"/>
  <c r="R19" s="1"/>
  <c r="S18" l="1"/>
  <c r="S57" s="1"/>
  <c r="J44"/>
  <c r="K44" s="1"/>
  <c r="Q15"/>
  <c r="P49"/>
  <c r="Q56"/>
  <c r="R51"/>
  <c r="Q14"/>
  <c r="P54"/>
  <c r="Q52"/>
  <c r="R22"/>
  <c r="T18" l="1"/>
  <c r="T57" s="1"/>
  <c r="J59"/>
  <c r="K59"/>
  <c r="L44"/>
  <c r="S51"/>
  <c r="Q54"/>
  <c r="R14"/>
  <c r="Q49"/>
  <c r="R15"/>
  <c r="R52"/>
  <c r="S22"/>
  <c r="T22" s="1"/>
  <c r="U22" s="1"/>
  <c r="R56"/>
  <c r="S19"/>
  <c r="U18" l="1"/>
  <c r="U57" s="1"/>
  <c r="M44"/>
  <c r="L59"/>
  <c r="V22"/>
  <c r="W22" s="1"/>
  <c r="X22" s="1"/>
  <c r="Y22" s="1"/>
  <c r="Z22" s="1"/>
  <c r="AA22" s="1"/>
  <c r="AB22" s="1"/>
  <c r="AC22" s="1"/>
  <c r="AD22" s="1"/>
  <c r="AE22" s="1"/>
  <c r="AF22" s="1"/>
  <c r="AG22" s="1"/>
  <c r="AH22" s="1"/>
  <c r="AI22" s="1"/>
  <c r="AJ22" s="1"/>
  <c r="AK22" s="1"/>
  <c r="AL22" s="1"/>
  <c r="AM22" s="1"/>
  <c r="AN22" s="1"/>
  <c r="AO22" s="1"/>
  <c r="AP22" s="1"/>
  <c r="AQ22" s="1"/>
  <c r="AR22" s="1"/>
  <c r="AS22" s="1"/>
  <c r="AT22" s="1"/>
  <c r="AU22" s="1"/>
  <c r="B22" s="1"/>
  <c r="S52"/>
  <c r="S56"/>
  <c r="T19"/>
  <c r="R49"/>
  <c r="S15"/>
  <c r="R54"/>
  <c r="S14"/>
  <c r="T51"/>
  <c r="V18" l="1"/>
  <c r="V57" s="1"/>
  <c r="M59"/>
  <c r="N44"/>
  <c r="S54"/>
  <c r="T14"/>
  <c r="S49"/>
  <c r="T15"/>
  <c r="T56"/>
  <c r="U19"/>
  <c r="U51"/>
  <c r="T52"/>
  <c r="W18" l="1"/>
  <c r="W57" s="1"/>
  <c r="N59"/>
  <c r="O44"/>
  <c r="U52"/>
  <c r="X18"/>
  <c r="X57" s="1"/>
  <c r="U15"/>
  <c r="T49"/>
  <c r="V51"/>
  <c r="U56"/>
  <c r="V19"/>
  <c r="T54"/>
  <c r="U14"/>
  <c r="P44" l="1"/>
  <c r="O59"/>
  <c r="U49"/>
  <c r="V15"/>
  <c r="W19"/>
  <c r="V56"/>
  <c r="Y18"/>
  <c r="Y57" s="1"/>
  <c r="U54"/>
  <c r="V14"/>
  <c r="W51"/>
  <c r="V52"/>
  <c r="Q44" l="1"/>
  <c r="P59"/>
  <c r="X19"/>
  <c r="W56"/>
  <c r="W52"/>
  <c r="X51"/>
  <c r="W14"/>
  <c r="V54"/>
  <c r="Z18"/>
  <c r="Z57" s="1"/>
  <c r="W15"/>
  <c r="V49"/>
  <c r="Q59" l="1"/>
  <c r="R44"/>
  <c r="X56"/>
  <c r="Y19"/>
  <c r="Y51"/>
  <c r="X52"/>
  <c r="W49"/>
  <c r="X15"/>
  <c r="AA18"/>
  <c r="AA57" s="1"/>
  <c r="W54"/>
  <c r="X14"/>
  <c r="R59" l="1"/>
  <c r="S44"/>
  <c r="Y52"/>
  <c r="Z51"/>
  <c r="X54"/>
  <c r="Y14"/>
  <c r="AB18"/>
  <c r="AB57" s="1"/>
  <c r="X49"/>
  <c r="Y15"/>
  <c r="Y56"/>
  <c r="Z19"/>
  <c r="T44" l="1"/>
  <c r="S59"/>
  <c r="Y54"/>
  <c r="Z14"/>
  <c r="Z56"/>
  <c r="AA19"/>
  <c r="Y49"/>
  <c r="Z15"/>
  <c r="AC18"/>
  <c r="AC57" s="1"/>
  <c r="Z52"/>
  <c r="AA51"/>
  <c r="T59" l="1"/>
  <c r="U44"/>
  <c r="AD18"/>
  <c r="AD57" s="1"/>
  <c r="AB19"/>
  <c r="AA56"/>
  <c r="AA15"/>
  <c r="Z49"/>
  <c r="AB51"/>
  <c r="AA52"/>
  <c r="Z54"/>
  <c r="AA14"/>
  <c r="U59" l="1"/>
  <c r="V44"/>
  <c r="AE18"/>
  <c r="AE57" s="1"/>
  <c r="AB52"/>
  <c r="AA54"/>
  <c r="AB14"/>
  <c r="AC51"/>
  <c r="AB15"/>
  <c r="AA49"/>
  <c r="AC19"/>
  <c r="AB56"/>
  <c r="V59" l="1"/>
  <c r="W44"/>
  <c r="AB49"/>
  <c r="AC15"/>
  <c r="AC52"/>
  <c r="AF18"/>
  <c r="AF57" s="1"/>
  <c r="AD51"/>
  <c r="AC56"/>
  <c r="AD19"/>
  <c r="AC14"/>
  <c r="AB54"/>
  <c r="W59" l="1"/>
  <c r="X44"/>
  <c r="AD52"/>
  <c r="AC54"/>
  <c r="AD14"/>
  <c r="AE51"/>
  <c r="AD56"/>
  <c r="AE19"/>
  <c r="AG18"/>
  <c r="AG57" s="1"/>
  <c r="AC49"/>
  <c r="AD15"/>
  <c r="Y44" l="1"/>
  <c r="X59"/>
  <c r="AD54"/>
  <c r="AE14"/>
  <c r="AD49"/>
  <c r="AE15"/>
  <c r="AE56"/>
  <c r="AF19"/>
  <c r="AF51"/>
  <c r="AE52"/>
  <c r="AH18"/>
  <c r="AH57" s="1"/>
  <c r="Y59" l="1"/>
  <c r="Z44"/>
  <c r="AI18"/>
  <c r="AI57" s="1"/>
  <c r="AF15"/>
  <c r="AE49"/>
  <c r="AG51"/>
  <c r="AE54"/>
  <c r="AF14"/>
  <c r="AF52"/>
  <c r="AF56"/>
  <c r="AG19"/>
  <c r="AA44" l="1"/>
  <c r="Z59"/>
  <c r="AG52"/>
  <c r="AJ18"/>
  <c r="AJ57" s="1"/>
  <c r="AH51"/>
  <c r="AG56"/>
  <c r="AH19"/>
  <c r="AG14"/>
  <c r="AF54"/>
  <c r="AG15"/>
  <c r="AF49"/>
  <c r="AA59" l="1"/>
  <c r="AB44"/>
  <c r="AG54"/>
  <c r="AH14"/>
  <c r="AH52"/>
  <c r="AK18"/>
  <c r="AK57" s="1"/>
  <c r="AI51"/>
  <c r="AG49"/>
  <c r="AH15"/>
  <c r="AI19"/>
  <c r="AH56"/>
  <c r="AB59" l="1"/>
  <c r="AC44"/>
  <c r="AH49"/>
  <c r="AI15"/>
  <c r="AH54"/>
  <c r="AI14"/>
  <c r="AI56"/>
  <c r="AJ19"/>
  <c r="AI52"/>
  <c r="AJ51"/>
  <c r="AL18"/>
  <c r="AL57" s="1"/>
  <c r="AD44" l="1"/>
  <c r="AC59"/>
  <c r="AJ52"/>
  <c r="AI49"/>
  <c r="AJ15"/>
  <c r="AK51"/>
  <c r="AJ56"/>
  <c r="AK19"/>
  <c r="AM18"/>
  <c r="AM57" s="1"/>
  <c r="AJ14"/>
  <c r="AI54"/>
  <c r="B17" l="1"/>
  <c r="B25"/>
  <c r="AE44"/>
  <c r="AD59"/>
  <c r="AN18"/>
  <c r="AN57" s="1"/>
  <c r="AL51"/>
  <c r="AJ54"/>
  <c r="AK14"/>
  <c r="AK52"/>
  <c r="AK56"/>
  <c r="AL19"/>
  <c r="AK15"/>
  <c r="AJ49"/>
  <c r="AF44" l="1"/>
  <c r="AE59"/>
  <c r="AK49"/>
  <c r="AL15"/>
  <c r="AL56"/>
  <c r="AM19"/>
  <c r="AO18"/>
  <c r="AO57" s="1"/>
  <c r="AL52"/>
  <c r="AM51"/>
  <c r="AK54"/>
  <c r="AL14"/>
  <c r="AF59" l="1"/>
  <c r="AG44"/>
  <c r="AN51"/>
  <c r="AM15"/>
  <c r="AL49"/>
  <c r="AP18"/>
  <c r="AP57" s="1"/>
  <c r="AM14"/>
  <c r="AL54"/>
  <c r="AM52"/>
  <c r="AM56"/>
  <c r="AN19"/>
  <c r="AH44" l="1"/>
  <c r="AG59"/>
  <c r="AQ18"/>
  <c r="AQ57" s="1"/>
  <c r="AO19"/>
  <c r="AN56"/>
  <c r="AN52"/>
  <c r="AM54"/>
  <c r="AN14"/>
  <c r="AM49"/>
  <c r="AN15"/>
  <c r="AO51"/>
  <c r="AI44" l="1"/>
  <c r="AH59"/>
  <c r="AO56"/>
  <c r="AP19"/>
  <c r="AN49"/>
  <c r="AO15"/>
  <c r="AR18"/>
  <c r="AR57" s="1"/>
  <c r="AP51"/>
  <c r="AN54"/>
  <c r="AO14"/>
  <c r="AO52"/>
  <c r="AJ44" l="1"/>
  <c r="AI59"/>
  <c r="AQ51"/>
  <c r="AO54"/>
  <c r="AP14"/>
  <c r="AS18"/>
  <c r="AS57" s="1"/>
  <c r="AP52"/>
  <c r="AO49"/>
  <c r="AP15"/>
  <c r="AP56"/>
  <c r="AQ19"/>
  <c r="AJ59" l="1"/>
  <c r="AK44"/>
  <c r="AR51"/>
  <c r="AQ15"/>
  <c r="AP49"/>
  <c r="AR19"/>
  <c r="AQ56"/>
  <c r="AT18"/>
  <c r="AT57" s="1"/>
  <c r="AP54"/>
  <c r="AQ14"/>
  <c r="AQ52"/>
  <c r="AK59" l="1"/>
  <c r="AL44"/>
  <c r="AR14"/>
  <c r="AQ54"/>
  <c r="AR15"/>
  <c r="AQ49"/>
  <c r="AR52"/>
  <c r="AS19"/>
  <c r="AR56"/>
  <c r="AU18"/>
  <c r="AU57" s="1"/>
  <c r="AS51"/>
  <c r="B18" l="1"/>
  <c r="AM44"/>
  <c r="AL59"/>
  <c r="AR49"/>
  <c r="AS15"/>
  <c r="AT51"/>
  <c r="B20"/>
  <c r="AS56"/>
  <c r="AT19"/>
  <c r="AR54"/>
  <c r="AS14"/>
  <c r="AS52"/>
  <c r="AU51" l="1"/>
  <c r="AM59"/>
  <c r="AN44"/>
  <c r="AT52"/>
  <c r="AU52"/>
  <c r="AT56"/>
  <c r="AU19"/>
  <c r="AS49"/>
  <c r="AT15"/>
  <c r="AS54"/>
  <c r="AT14"/>
  <c r="AU56" l="1"/>
  <c r="B19"/>
  <c r="AN59"/>
  <c r="AO44"/>
  <c r="AT49"/>
  <c r="AU15"/>
  <c r="B15" s="1"/>
  <c r="AT54"/>
  <c r="AU14"/>
  <c r="B14" s="1"/>
  <c r="AO59" l="1"/>
  <c r="AP44"/>
  <c r="AU49"/>
  <c r="AU54"/>
  <c r="AP59" l="1"/>
  <c r="AQ44"/>
  <c r="AR44" l="1"/>
  <c r="AQ59"/>
  <c r="AS44" l="1"/>
  <c r="AR59"/>
  <c r="AS59" l="1"/>
  <c r="AT44"/>
  <c r="AU44" l="1"/>
  <c r="AU59" s="1"/>
  <c r="AT59"/>
  <c r="H50" l="1"/>
  <c r="I16"/>
  <c r="I50" s="1"/>
  <c r="J16" l="1"/>
  <c r="K16" l="1"/>
  <c r="J50"/>
  <c r="L16" l="1"/>
  <c r="K50"/>
  <c r="M16" l="1"/>
  <c r="L50"/>
  <c r="N16" l="1"/>
  <c r="M50"/>
  <c r="O16" l="1"/>
  <c r="N50"/>
  <c r="P16" l="1"/>
  <c r="O50"/>
  <c r="Q16" l="1"/>
  <c r="P50"/>
  <c r="R16" l="1"/>
  <c r="Q50"/>
  <c r="S16" l="1"/>
  <c r="R50"/>
  <c r="T16" l="1"/>
  <c r="S50"/>
  <c r="U16" l="1"/>
  <c r="T50"/>
  <c r="V16" l="1"/>
  <c r="U50"/>
  <c r="W16" l="1"/>
  <c r="V50"/>
  <c r="X16" l="1"/>
  <c r="W50"/>
  <c r="Y16" l="1"/>
  <c r="X50"/>
  <c r="Z16" l="1"/>
  <c r="Y50"/>
  <c r="AA16" l="1"/>
  <c r="Z50"/>
  <c r="AB16" l="1"/>
  <c r="AA50"/>
  <c r="AC16" l="1"/>
  <c r="AB50"/>
  <c r="AD16" l="1"/>
  <c r="AC50"/>
  <c r="AE16" l="1"/>
  <c r="AD50"/>
  <c r="AF16" l="1"/>
  <c r="AE50"/>
  <c r="AG16" l="1"/>
  <c r="AF50"/>
  <c r="AH16" l="1"/>
  <c r="AG50"/>
  <c r="AI16" l="1"/>
  <c r="AH50"/>
  <c r="AJ16" l="1"/>
  <c r="AI50"/>
  <c r="AK16" l="1"/>
  <c r="AJ50"/>
  <c r="AL16" l="1"/>
  <c r="AK50"/>
  <c r="AM16" l="1"/>
  <c r="AL50"/>
  <c r="AN16" l="1"/>
  <c r="AM50"/>
  <c r="AO16" l="1"/>
  <c r="AN50"/>
  <c r="AP16" l="1"/>
  <c r="AO50"/>
  <c r="AQ16" l="1"/>
  <c r="AP50"/>
  <c r="AR16" l="1"/>
  <c r="AQ50"/>
  <c r="AS16" l="1"/>
  <c r="AR50"/>
  <c r="AT16" l="1"/>
  <c r="AS50"/>
  <c r="AU16" l="1"/>
  <c r="AT50"/>
  <c r="AU50" l="1"/>
  <c r="B16"/>
  <c r="H67" l="1"/>
  <c r="H68"/>
  <c r="I67" l="1"/>
  <c r="H47"/>
  <c r="I68"/>
  <c r="J67" l="1"/>
  <c r="I47"/>
  <c r="I24"/>
  <c r="H55"/>
  <c r="H61" s="1"/>
  <c r="H31"/>
  <c r="J68"/>
  <c r="K67" l="1"/>
  <c r="I55"/>
  <c r="I31"/>
  <c r="J47"/>
  <c r="J24"/>
  <c r="K68"/>
  <c r="L67" l="1"/>
  <c r="J55"/>
  <c r="J31"/>
  <c r="K47"/>
  <c r="K24"/>
  <c r="L68"/>
  <c r="M67" l="1"/>
  <c r="S67"/>
  <c r="L24"/>
  <c r="L47"/>
  <c r="K55"/>
  <c r="K31"/>
  <c r="M68"/>
  <c r="N67" l="1"/>
  <c r="T67"/>
  <c r="S68"/>
  <c r="L55"/>
  <c r="L31"/>
  <c r="M24"/>
  <c r="M47"/>
  <c r="N68"/>
  <c r="O67" l="1"/>
  <c r="U67"/>
  <c r="M55"/>
  <c r="M31"/>
  <c r="O68"/>
  <c r="N24"/>
  <c r="N47"/>
  <c r="T68"/>
  <c r="P67" l="1"/>
  <c r="V67"/>
  <c r="R67"/>
  <c r="N55"/>
  <c r="N31"/>
  <c r="O24"/>
  <c r="O47"/>
  <c r="U68"/>
  <c r="P68"/>
  <c r="Q67" l="1"/>
  <c r="W67"/>
  <c r="O55"/>
  <c r="O31"/>
  <c r="P24"/>
  <c r="P47"/>
  <c r="R68"/>
  <c r="V68"/>
  <c r="Q68"/>
  <c r="X67" l="1"/>
  <c r="Q24"/>
  <c r="Q47"/>
  <c r="P55"/>
  <c r="P31"/>
  <c r="W68"/>
  <c r="U47" l="1"/>
  <c r="Y67"/>
  <c r="R24"/>
  <c r="R47"/>
  <c r="Q55"/>
  <c r="Q31"/>
  <c r="X68"/>
  <c r="U24" l="1"/>
  <c r="U55" s="1"/>
  <c r="V47"/>
  <c r="V24"/>
  <c r="V55" s="1"/>
  <c r="Z67"/>
  <c r="S24"/>
  <c r="S47"/>
  <c r="R55"/>
  <c r="R31"/>
  <c r="Y68"/>
  <c r="U31" l="1"/>
  <c r="W47"/>
  <c r="W24"/>
  <c r="W31" s="1"/>
  <c r="V31"/>
  <c r="AA67"/>
  <c r="S55"/>
  <c r="S31"/>
  <c r="T24"/>
  <c r="T47"/>
  <c r="X24"/>
  <c r="X47"/>
  <c r="Z68"/>
  <c r="W55" l="1"/>
  <c r="AB67"/>
  <c r="T55"/>
  <c r="T31"/>
  <c r="X55"/>
  <c r="X31"/>
  <c r="Y24"/>
  <c r="Y47"/>
  <c r="AA68"/>
  <c r="AC67" l="1"/>
  <c r="Z24"/>
  <c r="Z47"/>
  <c r="Y55"/>
  <c r="Y31"/>
  <c r="AB68"/>
  <c r="AD67" l="1"/>
  <c r="AK67"/>
  <c r="Z55"/>
  <c r="Z31"/>
  <c r="AA24"/>
  <c r="AA47"/>
  <c r="AC68"/>
  <c r="AE67" l="1"/>
  <c r="AL67"/>
  <c r="AB24"/>
  <c r="AB47"/>
  <c r="AK68"/>
  <c r="AA55"/>
  <c r="AA31"/>
  <c r="AD68"/>
  <c r="AM67" l="1"/>
  <c r="AF67"/>
  <c r="AB55"/>
  <c r="AB31"/>
  <c r="AC24"/>
  <c r="AC47"/>
  <c r="AL68"/>
  <c r="AE68"/>
  <c r="AN67" l="1"/>
  <c r="AG67"/>
  <c r="AC55"/>
  <c r="AC31"/>
  <c r="AD24"/>
  <c r="AD47"/>
  <c r="AF68"/>
  <c r="AM68"/>
  <c r="AF47" l="1"/>
  <c r="AO67"/>
  <c r="AH67"/>
  <c r="AD55"/>
  <c r="AD31"/>
  <c r="AE24"/>
  <c r="AE47"/>
  <c r="AG68"/>
  <c r="AN68"/>
  <c r="AG24" l="1"/>
  <c r="AF24"/>
  <c r="AF31" s="1"/>
  <c r="AJ67"/>
  <c r="AP67"/>
  <c r="AI67"/>
  <c r="AE55"/>
  <c r="AE31"/>
  <c r="AH68"/>
  <c r="AO68"/>
  <c r="AH24" l="1"/>
  <c r="AF55"/>
  <c r="AG47"/>
  <c r="AQ67"/>
  <c r="AI68"/>
  <c r="AG55"/>
  <c r="AG31"/>
  <c r="AP68"/>
  <c r="AJ68"/>
  <c r="AH47" l="1"/>
  <c r="AR67"/>
  <c r="AH55"/>
  <c r="AH31"/>
  <c r="AQ68"/>
  <c r="AI24" l="1"/>
  <c r="AI31" s="1"/>
  <c r="AI47"/>
  <c r="AK24"/>
  <c r="AK31" s="1"/>
  <c r="AL47"/>
  <c r="AJ47"/>
  <c r="AJ24"/>
  <c r="AJ31" s="1"/>
  <c r="AK47"/>
  <c r="AS67"/>
  <c r="AR68"/>
  <c r="AI55" l="1"/>
  <c r="AK55"/>
  <c r="AL24"/>
  <c r="AL55" s="1"/>
  <c r="AJ55"/>
  <c r="AT67"/>
  <c r="AU67"/>
  <c r="AS68"/>
  <c r="AL31" l="1"/>
  <c r="AM47"/>
  <c r="AM24"/>
  <c r="AM55" s="1"/>
  <c r="AN47"/>
  <c r="AN24"/>
  <c r="AU68"/>
  <c r="AT68"/>
  <c r="AM31" l="1"/>
  <c r="AO24"/>
  <c r="AO47"/>
  <c r="AN55"/>
  <c r="AN31"/>
  <c r="B26" l="1"/>
  <c r="AP24"/>
  <c r="AP47"/>
  <c r="AO55"/>
  <c r="AO31"/>
  <c r="AQ24" l="1"/>
  <c r="AQ47"/>
  <c r="AP55"/>
  <c r="AP31"/>
  <c r="AR47" l="1"/>
  <c r="AR24"/>
  <c r="AQ31"/>
  <c r="AQ55"/>
  <c r="AS24" l="1"/>
  <c r="AS47"/>
  <c r="AR55"/>
  <c r="AR31"/>
  <c r="AT47" l="1"/>
  <c r="AT24"/>
  <c r="AS31"/>
  <c r="AS55"/>
  <c r="AT55" l="1"/>
  <c r="AT31"/>
  <c r="AU24"/>
  <c r="B24" s="1"/>
  <c r="B31" s="1"/>
  <c r="AU47"/>
  <c r="AU31" l="1"/>
  <c r="AU55"/>
  <c r="B34" l="1"/>
  <c r="B4" s="1"/>
  <c r="B5" s="1"/>
  <c r="AU42"/>
  <c r="K42"/>
  <c r="L42"/>
  <c r="N42"/>
  <c r="P42"/>
  <c r="R42"/>
  <c r="I42"/>
  <c r="Q42"/>
  <c r="V42"/>
  <c r="Z42"/>
  <c r="AD42"/>
  <c r="AH42"/>
  <c r="AL42"/>
  <c r="AP42"/>
  <c r="AT42"/>
  <c r="J42"/>
  <c r="S42"/>
  <c r="W42"/>
  <c r="AA42"/>
  <c r="AE42"/>
  <c r="AI42"/>
  <c r="AM42"/>
  <c r="AQ42"/>
  <c r="M42"/>
  <c r="T42"/>
  <c r="X42"/>
  <c r="AB42"/>
  <c r="AF42"/>
  <c r="AJ42"/>
  <c r="AN42"/>
  <c r="AR42"/>
  <c r="O42"/>
  <c r="U42"/>
  <c r="Y42"/>
  <c r="AC42"/>
  <c r="AG42"/>
  <c r="AK42"/>
  <c r="AO42"/>
  <c r="AS42"/>
  <c r="H40"/>
  <c r="H41" s="1"/>
  <c r="I38" s="1"/>
  <c r="I39" l="1"/>
  <c r="I58" s="1"/>
  <c r="I61" s="1"/>
  <c r="I40" l="1"/>
  <c r="I41" s="1"/>
  <c r="J38" s="1"/>
  <c r="J39" s="1"/>
  <c r="J40" l="1"/>
  <c r="J41" s="1"/>
  <c r="K38" s="1"/>
  <c r="J58"/>
  <c r="J61" s="1"/>
  <c r="K39" l="1"/>
  <c r="K58" l="1"/>
  <c r="K61" s="1"/>
  <c r="K40"/>
  <c r="K41" s="1"/>
  <c r="L38" s="1"/>
  <c r="L39" l="1"/>
  <c r="L58" l="1"/>
  <c r="L61" s="1"/>
  <c r="L40"/>
  <c r="L41" s="1"/>
  <c r="M38" s="1"/>
  <c r="M39" l="1"/>
  <c r="M58" l="1"/>
  <c r="M61" s="1"/>
  <c r="M40"/>
  <c r="M41" s="1"/>
  <c r="N38" s="1"/>
  <c r="N39" l="1"/>
  <c r="N58" l="1"/>
  <c r="N61" s="1"/>
  <c r="N40"/>
  <c r="N41" s="1"/>
  <c r="O38" s="1"/>
  <c r="O39" l="1"/>
  <c r="O58" l="1"/>
  <c r="O61" s="1"/>
  <c r="O40"/>
  <c r="O41" s="1"/>
  <c r="P38" s="1"/>
  <c r="P39" l="1"/>
  <c r="P58" l="1"/>
  <c r="P61" s="1"/>
  <c r="P40"/>
  <c r="P41" s="1"/>
  <c r="Q38" s="1"/>
  <c r="Q39" l="1"/>
  <c r="Q58" l="1"/>
  <c r="Q61" s="1"/>
  <c r="Q40"/>
  <c r="Q41" s="1"/>
  <c r="R38" s="1"/>
  <c r="R39" l="1"/>
  <c r="R58" l="1"/>
  <c r="R61" s="1"/>
  <c r="R40"/>
  <c r="R41" s="1"/>
  <c r="S38" s="1"/>
  <c r="S39" l="1"/>
  <c r="S58" l="1"/>
  <c r="S61" s="1"/>
  <c r="S40"/>
  <c r="S41" s="1"/>
  <c r="T38" s="1"/>
  <c r="T39" l="1"/>
  <c r="T58" l="1"/>
  <c r="T61" s="1"/>
  <c r="T40"/>
  <c r="T41" s="1"/>
  <c r="U38" s="1"/>
  <c r="U39" l="1"/>
  <c r="U40" l="1"/>
  <c r="U41" s="1"/>
  <c r="V38" s="1"/>
  <c r="U58"/>
  <c r="U61" s="1"/>
  <c r="V39" l="1"/>
  <c r="V58" l="1"/>
  <c r="V61" s="1"/>
  <c r="V40"/>
  <c r="V41" s="1"/>
  <c r="W38" s="1"/>
  <c r="W39" l="1"/>
  <c r="W40" l="1"/>
  <c r="W41" s="1"/>
  <c r="X38" s="1"/>
  <c r="W58"/>
  <c r="W61" s="1"/>
  <c r="X39" l="1"/>
  <c r="X58" l="1"/>
  <c r="X61" s="1"/>
  <c r="X40"/>
  <c r="X41" s="1"/>
  <c r="Y38" s="1"/>
  <c r="Y39" l="1"/>
  <c r="Y58" l="1"/>
  <c r="Y61" s="1"/>
  <c r="Y40"/>
  <c r="Y41" s="1"/>
  <c r="Z38" s="1"/>
  <c r="Z39" l="1"/>
  <c r="Z40" l="1"/>
  <c r="Z41" s="1"/>
  <c r="AA38" s="1"/>
  <c r="Z58"/>
  <c r="Z61" s="1"/>
  <c r="AA39" l="1"/>
  <c r="AA58" l="1"/>
  <c r="AA61" s="1"/>
  <c r="AA40"/>
  <c r="AA41" s="1"/>
  <c r="AB38" s="1"/>
  <c r="AB39" l="1"/>
  <c r="AB58" l="1"/>
  <c r="AB61" s="1"/>
  <c r="AB40"/>
  <c r="AB41" s="1"/>
  <c r="AC38" s="1"/>
  <c r="AC39" l="1"/>
  <c r="AC58" l="1"/>
  <c r="AC61" s="1"/>
  <c r="AC40"/>
  <c r="AC41" s="1"/>
  <c r="AD38" s="1"/>
  <c r="AD39" l="1"/>
  <c r="AD58" l="1"/>
  <c r="AD61" s="1"/>
  <c r="AD40"/>
  <c r="AD41" s="1"/>
  <c r="AE38" s="1"/>
  <c r="AE39" l="1"/>
  <c r="AE58" l="1"/>
  <c r="AE61" s="1"/>
  <c r="AE40"/>
  <c r="AE41" s="1"/>
  <c r="AF38" s="1"/>
  <c r="AF39" l="1"/>
  <c r="AF40" l="1"/>
  <c r="AF41" s="1"/>
  <c r="AG38" s="1"/>
  <c r="AF58"/>
  <c r="AF61" s="1"/>
  <c r="AG39" l="1"/>
  <c r="AG58" l="1"/>
  <c r="AG61" s="1"/>
  <c r="AG40"/>
  <c r="AG41" s="1"/>
  <c r="AH38" s="1"/>
  <c r="AH39" l="1"/>
  <c r="AH40" l="1"/>
  <c r="AH41" s="1"/>
  <c r="AI38" s="1"/>
  <c r="AH58"/>
  <c r="AH61" s="1"/>
  <c r="AI39" l="1"/>
  <c r="AI58" l="1"/>
  <c r="AI61" s="1"/>
  <c r="AI40"/>
  <c r="AI41" s="1"/>
  <c r="AJ38" s="1"/>
  <c r="AJ39" l="1"/>
  <c r="AJ58" l="1"/>
  <c r="AJ61" s="1"/>
  <c r="AJ40"/>
  <c r="AJ41" s="1"/>
  <c r="AK38" s="1"/>
  <c r="AK39" l="1"/>
  <c r="AK58" l="1"/>
  <c r="AK61" s="1"/>
  <c r="AK40"/>
  <c r="AK41" s="1"/>
  <c r="AL38" s="1"/>
  <c r="AL39" l="1"/>
  <c r="AL58" l="1"/>
  <c r="AL61" s="1"/>
  <c r="AL40"/>
  <c r="AL41" s="1"/>
  <c r="AM38" s="1"/>
  <c r="AM39" l="1"/>
  <c r="AM40" l="1"/>
  <c r="AM41" s="1"/>
  <c r="AN38" s="1"/>
  <c r="AM58"/>
  <c r="AM61" s="1"/>
  <c r="AN39" l="1"/>
  <c r="AN58" l="1"/>
  <c r="AN61" s="1"/>
  <c r="AN40"/>
  <c r="AN41" s="1"/>
  <c r="AO38" s="1"/>
  <c r="AO39" l="1"/>
  <c r="AO58" l="1"/>
  <c r="AO61" s="1"/>
  <c r="AO40"/>
  <c r="AO41" s="1"/>
  <c r="AP38" s="1"/>
  <c r="AP39" l="1"/>
  <c r="AP58" l="1"/>
  <c r="AP61" s="1"/>
  <c r="AP40"/>
  <c r="AP41" s="1"/>
  <c r="AQ38" s="1"/>
  <c r="AQ39" l="1"/>
  <c r="AQ58" l="1"/>
  <c r="AQ61" s="1"/>
  <c r="AQ40"/>
  <c r="AQ41" s="1"/>
  <c r="AR38" s="1"/>
  <c r="AR39" l="1"/>
  <c r="AR58" l="1"/>
  <c r="AR61" s="1"/>
  <c r="AR40"/>
  <c r="AR41" s="1"/>
  <c r="AS38" s="1"/>
  <c r="AS39" l="1"/>
  <c r="AS58" l="1"/>
  <c r="AS61" s="1"/>
  <c r="AS40"/>
  <c r="AS41" s="1"/>
  <c r="AT38" s="1"/>
  <c r="AT39" l="1"/>
  <c r="AT58" l="1"/>
  <c r="AT61" s="1"/>
  <c r="AT40"/>
  <c r="AT41" s="1"/>
  <c r="AU38" s="1"/>
  <c r="AU39" l="1"/>
  <c r="AU58" l="1"/>
  <c r="AU61" s="1"/>
  <c r="B61" s="1"/>
  <c r="AU40"/>
  <c r="AU41" s="1"/>
</calcChain>
</file>

<file path=xl/comments1.xml><?xml version="1.0" encoding="utf-8"?>
<comments xmlns="http://schemas.openxmlformats.org/spreadsheetml/2006/main">
  <authors>
    <author>IT Services</author>
    <author>LeBlanc, Ron</author>
  </authors>
  <commentList>
    <comment ref="H18" authorId="0">
      <text>
        <r>
          <rPr>
            <b/>
            <sz val="8"/>
            <color indexed="81"/>
            <rFont val="Tahoma"/>
            <family val="2"/>
          </rPr>
          <t>IT Services:</t>
        </r>
        <r>
          <rPr>
            <sz val="8"/>
            <color indexed="81"/>
            <rFont val="Tahoma"/>
            <family val="2"/>
          </rPr>
          <t xml:space="preserve">
One-time cost for thermal generation required to commission Bedeque Bus protection.</t>
        </r>
      </text>
    </comment>
    <comment ref="H20" authorId="1">
      <text>
        <r>
          <rPr>
            <b/>
            <sz val="9"/>
            <color indexed="81"/>
            <rFont val="Tahoma"/>
            <family val="2"/>
          </rPr>
          <t>LeBlanc, Ron:</t>
        </r>
        <r>
          <rPr>
            <sz val="9"/>
            <color indexed="81"/>
            <rFont val="Tahoma"/>
            <family val="2"/>
          </rPr>
          <t xml:space="preserve">
Direct O&amp;M only</t>
        </r>
      </text>
    </comment>
    <comment ref="E39" authorId="1">
      <text>
        <r>
          <rPr>
            <b/>
            <sz val="9"/>
            <color indexed="81"/>
            <rFont val="Tahoma"/>
            <family val="2"/>
          </rPr>
          <t>LeBlanc, Ron:</t>
        </r>
        <r>
          <rPr>
            <sz val="9"/>
            <color indexed="81"/>
            <rFont val="Tahoma"/>
            <family val="2"/>
          </rPr>
          <t xml:space="preserve">
Only half of the interest due to money being spent over the year</t>
        </r>
      </text>
    </comment>
    <comment ref="F39" authorId="1">
      <text>
        <r>
          <rPr>
            <b/>
            <sz val="9"/>
            <color indexed="81"/>
            <rFont val="Tahoma"/>
            <family val="2"/>
          </rPr>
          <t>LeBlanc, Ron:</t>
        </r>
        <r>
          <rPr>
            <sz val="9"/>
            <color indexed="81"/>
            <rFont val="Tahoma"/>
            <family val="2"/>
          </rPr>
          <t xml:space="preserve">
Full year interest on last year's total plus half of this year's total</t>
        </r>
      </text>
    </comment>
  </commentList>
</comments>
</file>

<file path=xl/sharedStrings.xml><?xml version="1.0" encoding="utf-8"?>
<sst xmlns="http://schemas.openxmlformats.org/spreadsheetml/2006/main" count="139" uniqueCount="103">
  <si>
    <t>City of Summerside Electric Utility</t>
  </si>
  <si>
    <t>Transmission Line Economic Feasibility</t>
  </si>
  <si>
    <t>Year of Operation</t>
  </si>
  <si>
    <t>Year of Construction</t>
  </si>
  <si>
    <t>Capital Expenditure</t>
  </si>
  <si>
    <t>Annual Easement Cost</t>
  </si>
  <si>
    <t>Total Annual Cash Flows</t>
  </si>
  <si>
    <t>Assumed Discount Rate, LTD</t>
  </si>
  <si>
    <t>Net Present Value</t>
  </si>
  <si>
    <t>Interest and Debt Repayment</t>
  </si>
  <si>
    <t>Interest</t>
  </si>
  <si>
    <t>Principle Repayment</t>
  </si>
  <si>
    <t>Closing Balance</t>
  </si>
  <si>
    <t>Total Annual Payment</t>
  </si>
  <si>
    <t>SE Revenue Requirement</t>
  </si>
  <si>
    <t>Change in Transmission Charges from MECL</t>
  </si>
  <si>
    <t>Incremental Easement Costs</t>
  </si>
  <si>
    <t>Opening Principal</t>
  </si>
  <si>
    <t>Total Revenue Requirement Impact</t>
  </si>
  <si>
    <t>1. Project Net Present Value</t>
  </si>
  <si>
    <t>2. SE Revenue Requirement Impact</t>
  </si>
  <si>
    <t>COS Transmission Discount</t>
  </si>
  <si>
    <t>Years remaining in WC Contract</t>
  </si>
  <si>
    <t>NPV</t>
  </si>
  <si>
    <t>1 O&amp;M COS</t>
  </si>
  <si>
    <t>2 O&amp;M MECL</t>
  </si>
  <si>
    <t>Incremental Property Taxes</t>
  </si>
  <si>
    <t>OATT Schedule 9 Charges for Bedeque Breaker Bay</t>
  </si>
  <si>
    <t>Year</t>
  </si>
  <si>
    <t>Load Growth</t>
  </si>
  <si>
    <t>Communication facilities lease</t>
  </si>
  <si>
    <t>Direct O&amp;M</t>
  </si>
  <si>
    <t>Fibre Rental</t>
  </si>
  <si>
    <t>T11 Backup?</t>
  </si>
  <si>
    <t>n</t>
  </si>
  <si>
    <t>One time generation cost</t>
  </si>
  <si>
    <t>Indirect O&amp;M</t>
  </si>
  <si>
    <t>Years (30 or 40)</t>
  </si>
  <si>
    <t>MC-COS $</t>
  </si>
  <si>
    <t>WC-COS $</t>
  </si>
  <si>
    <t>Point to Point Total</t>
  </si>
  <si>
    <t>OATT</t>
  </si>
  <si>
    <t>Greg = 1</t>
  </si>
  <si>
    <t>Ron = 2</t>
  </si>
  <si>
    <t>Loss Savings</t>
  </si>
  <si>
    <t>With Discount</t>
  </si>
  <si>
    <t>Operation and Maintenance, Direct</t>
  </si>
  <si>
    <t>Operation and Maintenance, Indirect</t>
  </si>
  <si>
    <t>Direct $</t>
  </si>
  <si>
    <t>Indirect $</t>
  </si>
  <si>
    <t>Direct %</t>
  </si>
  <si>
    <t>Indirect %</t>
  </si>
  <si>
    <t>OATT Growth</t>
  </si>
  <si>
    <t>Depreciation (straight line over 40 years)</t>
  </si>
  <si>
    <t>Depreciation</t>
  </si>
  <si>
    <t>One time generation cost for MECL Customers</t>
  </si>
  <si>
    <t>Option (A or B) or COS (S)</t>
  </si>
  <si>
    <t>Calendar Year (End of West Cape in 2029)</t>
  </si>
  <si>
    <t>Calendar Year (West Cape for 40 years)</t>
  </si>
  <si>
    <t>West Cape to City of Summerside Transmission Costs</t>
  </si>
  <si>
    <t>New Brunswick to PEI Transmission System Usage Costs</t>
  </si>
  <si>
    <t>Wind Farm 1 (100 MW) resulting OATT rate decrease</t>
  </si>
  <si>
    <t>Wind Farm 2 (100 MW) resulting OATT rate decrease</t>
  </si>
  <si>
    <t>Transmission System Usage cost for WC Replacement Energy</t>
  </si>
  <si>
    <t>Status Quo Forecasted OATT Charges</t>
  </si>
  <si>
    <t>Export Savings from Sside Wind Farm</t>
  </si>
  <si>
    <t>COS Loss Savings</t>
  </si>
  <si>
    <t>Interest During Construction</t>
  </si>
  <si>
    <t>MC-COS $ Straight Growth 2.0%</t>
  </si>
  <si>
    <t>WC-COS $ Straight Growth 2.0%</t>
  </si>
  <si>
    <t>MC-COS $ Straight Growth 2.2%</t>
  </si>
  <si>
    <t>WC-COS $ Straight Growth 2.2%</t>
  </si>
  <si>
    <t>MC-COS $ Straight Growth 3.0%</t>
  </si>
  <si>
    <t>WC-COS $ Straight Growth 3.0%</t>
  </si>
  <si>
    <t>MC-COS $ Straight Growth with WC 2.0%</t>
  </si>
  <si>
    <t>WC-COS $ Straight Growth with WC 2.0%</t>
  </si>
  <si>
    <t>MC-COS $ Straight Growth with WC 2.2%</t>
  </si>
  <si>
    <t>WC-COS $ Straight Growth with WC 2.2%</t>
  </si>
  <si>
    <t>MC-COS $ Straight Growth with WC 3.0%</t>
  </si>
  <si>
    <t>WC-COS $ Straight Growth with WC 3.0%</t>
  </si>
  <si>
    <t>Growth</t>
  </si>
  <si>
    <t xml:space="preserve"> COS Average Annual Peak (MW)</t>
  </si>
  <si>
    <t>Network Service $</t>
  </si>
  <si>
    <t>Professional Fees Incurred to Date</t>
  </si>
  <si>
    <t>Future Professional Fees</t>
  </si>
  <si>
    <t>Professional Fees</t>
  </si>
  <si>
    <t>Export Savings</t>
  </si>
  <si>
    <t>Point to Point</t>
  </si>
  <si>
    <t>Peak</t>
  </si>
  <si>
    <t>COS Numbers</t>
  </si>
  <si>
    <t>MECL Numbers</t>
  </si>
  <si>
    <t>COS Network in 2016</t>
  </si>
  <si>
    <t>Derived from 2011 and escalated to 2016</t>
  </si>
  <si>
    <t>2011 Rate</t>
  </si>
  <si>
    <t>$/Month</t>
  </si>
  <si>
    <t>MW average 2011</t>
  </si>
  <si>
    <t>Load Growth Prediction (A = 1.47%, B = 1.61%, C = 2.20%)</t>
  </si>
  <si>
    <t>IDC</t>
  </si>
  <si>
    <t>Discount</t>
  </si>
  <si>
    <t>Critical Spares</t>
  </si>
  <si>
    <t>OATT Network $/MW-month</t>
  </si>
  <si>
    <t>A</t>
  </si>
  <si>
    <t>M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</si>
</sst>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###\ &quot;MW&quot;"/>
    <numFmt numFmtId="168" formatCode="0.000"/>
    <numFmt numFmtId="169" formatCode="_(* #,##0.000_);_(* \(#,##0.0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 indent="1"/>
    </xf>
    <xf numFmtId="164" fontId="0" fillId="0" borderId="0" xfId="1" applyNumberFormat="1" applyFont="1"/>
    <xf numFmtId="0" fontId="2" fillId="0" borderId="0" xfId="0" applyFont="1"/>
    <xf numFmtId="0" fontId="2" fillId="0" borderId="0" xfId="0" quotePrefix="1" applyFont="1" applyAlignment="1">
      <alignment horizontal="left"/>
    </xf>
    <xf numFmtId="0" fontId="0" fillId="0" borderId="0" xfId="0" quotePrefix="1" applyAlignment="1">
      <alignment horizontal="left" indent="1"/>
    </xf>
    <xf numFmtId="0" fontId="0" fillId="2" borderId="0" xfId="0" applyFill="1"/>
    <xf numFmtId="165" fontId="0" fillId="0" borderId="0" xfId="2" applyNumberFormat="1" applyFont="1"/>
    <xf numFmtId="10" fontId="0" fillId="0" borderId="0" xfId="2" applyNumberFormat="1" applyFont="1"/>
    <xf numFmtId="6" fontId="0" fillId="0" borderId="0" xfId="0" applyNumberFormat="1"/>
    <xf numFmtId="0" fontId="2" fillId="0" borderId="0" xfId="0" applyFont="1" applyAlignment="1">
      <alignment horizontal="center"/>
    </xf>
    <xf numFmtId="0" fontId="0" fillId="6" borderId="0" xfId="0" applyFill="1"/>
    <xf numFmtId="0" fontId="2" fillId="6" borderId="0" xfId="0" applyFont="1" applyFill="1"/>
    <xf numFmtId="0" fontId="2" fillId="7" borderId="0" xfId="0" applyFont="1" applyFill="1"/>
    <xf numFmtId="0" fontId="2" fillId="5" borderId="0" xfId="0" applyFont="1" applyFill="1"/>
    <xf numFmtId="0" fontId="2" fillId="5" borderId="0" xfId="0" quotePrefix="1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164" fontId="0" fillId="0" borderId="0" xfId="1" applyNumberFormat="1" applyFont="1" applyFill="1"/>
    <xf numFmtId="0" fontId="0" fillId="0" borderId="0" xfId="0" applyFill="1" applyAlignment="1">
      <alignment horizontal="left" indent="1"/>
    </xf>
    <xf numFmtId="165" fontId="0" fillId="0" borderId="0" xfId="2" applyNumberFormat="1" applyFont="1" applyFill="1"/>
    <xf numFmtId="0" fontId="0" fillId="7" borderId="0" xfId="0" applyFill="1"/>
    <xf numFmtId="0" fontId="0" fillId="4" borderId="0" xfId="0" applyFill="1"/>
    <xf numFmtId="164" fontId="0" fillId="0" borderId="0" xfId="0" applyNumberFormat="1"/>
    <xf numFmtId="0" fontId="0" fillId="0" borderId="0" xfId="0" applyBorder="1"/>
    <xf numFmtId="0" fontId="0" fillId="0" borderId="0" xfId="0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/>
    <xf numFmtId="0" fontId="2" fillId="8" borderId="0" xfId="0" quotePrefix="1" applyFont="1" applyFill="1" applyAlignment="1">
      <alignment horizontal="right"/>
    </xf>
    <xf numFmtId="0" fontId="0" fillId="0" borderId="0" xfId="0" quotePrefix="1" applyAlignment="1">
      <alignment horizontal="left"/>
    </xf>
    <xf numFmtId="166" fontId="0" fillId="0" borderId="0" xfId="2" applyNumberFormat="1" applyFont="1"/>
    <xf numFmtId="9" fontId="0" fillId="0" borderId="0" xfId="2" applyFont="1"/>
    <xf numFmtId="0" fontId="0" fillId="8" borderId="0" xfId="0" applyFill="1"/>
    <xf numFmtId="0" fontId="2" fillId="8" borderId="0" xfId="0" quotePrefix="1" applyFont="1" applyFill="1" applyAlignment="1">
      <alignment horizontal="left"/>
    </xf>
    <xf numFmtId="164" fontId="0" fillId="2" borderId="0" xfId="1" applyNumberFormat="1" applyFont="1" applyFill="1"/>
    <xf numFmtId="6" fontId="0" fillId="2" borderId="0" xfId="0" applyNumberFormat="1" applyFill="1"/>
    <xf numFmtId="164" fontId="0" fillId="2" borderId="0" xfId="0" applyNumberFormat="1" applyFill="1"/>
    <xf numFmtId="0" fontId="0" fillId="0" borderId="0" xfId="0" quotePrefix="1" applyFill="1" applyAlignment="1">
      <alignment horizontal="left" indent="1"/>
    </xf>
    <xf numFmtId="164" fontId="2" fillId="8" borderId="0" xfId="1" applyNumberFormat="1" applyFont="1" applyFill="1" applyAlignment="1">
      <alignment horizontal="center"/>
    </xf>
    <xf numFmtId="0" fontId="2" fillId="8" borderId="0" xfId="0" applyFont="1" applyFill="1" applyAlignment="1">
      <alignment horizontal="left"/>
    </xf>
    <xf numFmtId="10" fontId="0" fillId="0" borderId="0" xfId="2" applyNumberFormat="1" applyFont="1" applyFill="1"/>
    <xf numFmtId="6" fontId="0" fillId="0" borderId="0" xfId="0" applyNumberFormat="1" applyFill="1"/>
    <xf numFmtId="0" fontId="2" fillId="2" borderId="0" xfId="0" applyFont="1" applyFill="1"/>
    <xf numFmtId="0" fontId="9" fillId="0" borderId="0" xfId="9" applyFont="1"/>
    <xf numFmtId="0" fontId="8" fillId="0" borderId="0" xfId="9"/>
    <xf numFmtId="164" fontId="0" fillId="0" borderId="0" xfId="20" applyNumberFormat="1" applyFont="1"/>
    <xf numFmtId="9" fontId="2" fillId="8" borderId="0" xfId="2" applyFont="1" applyFill="1" applyAlignment="1">
      <alignment horizontal="left"/>
    </xf>
    <xf numFmtId="0" fontId="0" fillId="0" borderId="0" xfId="0" quotePrefix="1" applyAlignment="1">
      <alignment horizontal="center"/>
    </xf>
    <xf numFmtId="10" fontId="2" fillId="7" borderId="0" xfId="2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3" borderId="0" xfId="0" applyFill="1" applyBorder="1"/>
    <xf numFmtId="0" fontId="0" fillId="3" borderId="0" xfId="0" quotePrefix="1" applyFill="1" applyBorder="1" applyAlignment="1">
      <alignment horizontal="left"/>
    </xf>
    <xf numFmtId="164" fontId="0" fillId="3" borderId="0" xfId="1" applyNumberFormat="1" applyFont="1" applyFill="1" applyBorder="1"/>
    <xf numFmtId="0" fontId="0" fillId="3" borderId="0" xfId="0" applyFill="1" applyBorder="1" applyAlignment="1">
      <alignment horizontal="center"/>
    </xf>
    <xf numFmtId="10" fontId="0" fillId="3" borderId="0" xfId="0" applyNumberFormat="1" applyFill="1" applyBorder="1"/>
    <xf numFmtId="9" fontId="0" fillId="0" borderId="0" xfId="0" applyNumberFormat="1"/>
    <xf numFmtId="0" fontId="0" fillId="2" borderId="0" xfId="0" applyFill="1" applyAlignment="1">
      <alignment horizontal="center"/>
    </xf>
    <xf numFmtId="0" fontId="2" fillId="0" borderId="0" xfId="0" quotePrefix="1" applyFont="1" applyAlignment="1">
      <alignment horizontal="center"/>
    </xf>
    <xf numFmtId="0" fontId="9" fillId="0" borderId="0" xfId="9" applyFont="1" applyAlignment="1">
      <alignment horizontal="center"/>
    </xf>
    <xf numFmtId="43" fontId="0" fillId="0" borderId="0" xfId="1" applyNumberFormat="1" applyFont="1"/>
    <xf numFmtId="167" fontId="0" fillId="0" borderId="0" xfId="1" applyNumberFormat="1" applyFont="1" applyFill="1"/>
    <xf numFmtId="164" fontId="2" fillId="0" borderId="0" xfId="1" applyNumberFormat="1" applyFont="1" applyFill="1"/>
    <xf numFmtId="0" fontId="9" fillId="0" borderId="0" xfId="9" quotePrefix="1" applyFont="1" applyAlignment="1">
      <alignment horizontal="left"/>
    </xf>
    <xf numFmtId="6" fontId="0" fillId="0" borderId="0" xfId="0" applyNumberFormat="1" applyAlignment="1">
      <alignment horizontal="right" indent="1"/>
    </xf>
    <xf numFmtId="6" fontId="10" fillId="2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165" fontId="0" fillId="0" borderId="0" xfId="0" applyNumberFormat="1"/>
    <xf numFmtId="168" fontId="0" fillId="0" borderId="0" xfId="0" applyNumberFormat="1"/>
    <xf numFmtId="10" fontId="0" fillId="0" borderId="0" xfId="2" applyNumberFormat="1" applyFont="1" applyAlignment="1">
      <alignment horizontal="center"/>
    </xf>
    <xf numFmtId="169" fontId="0" fillId="0" borderId="0" xfId="0" applyNumberFormat="1"/>
    <xf numFmtId="165" fontId="0" fillId="0" borderId="0" xfId="0" applyNumberFormat="1" applyAlignment="1">
      <alignment horizontal="left" indent="1"/>
    </xf>
    <xf numFmtId="164" fontId="0" fillId="0" borderId="0" xfId="1" applyNumberFormat="1" applyFont="1"/>
    <xf numFmtId="164" fontId="0" fillId="0" borderId="0" xfId="1" applyNumberFormat="1" applyFont="1" applyFill="1"/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</cellXfs>
  <cellStyles count="21">
    <cellStyle name="Comma" xfId="1" builtinId="3"/>
    <cellStyle name="Comma 2" xfId="7"/>
    <cellStyle name="Comma 3" xfId="6"/>
    <cellStyle name="Comma 3 2" xfId="8"/>
    <cellStyle name="Comma 4" xfId="20"/>
    <cellStyle name="Currency 2" xfId="19"/>
    <cellStyle name="Normal" xfId="0" builtinId="0"/>
    <cellStyle name="Normal 2" xfId="3"/>
    <cellStyle name="Normal 2 2" xfId="9"/>
    <cellStyle name="Normal 2 3" xfId="10"/>
    <cellStyle name="Normal 2 4" xfId="11"/>
    <cellStyle name="Normal 2 4 2" xfId="12"/>
    <cellStyle name="Normal 2 5" xfId="13"/>
    <cellStyle name="Normal 3" xfId="4"/>
    <cellStyle name="Normal 3 2" xfId="14"/>
    <cellStyle name="Normal 3 2 2" xfId="15"/>
    <cellStyle name="Normal 4" xfId="5"/>
    <cellStyle name="Normal 4 2" xfId="16"/>
    <cellStyle name="Normal 5" xfId="17"/>
    <cellStyle name="Normal 5 2" xfId="18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2"/>
  <sheetViews>
    <sheetView tabSelected="1" zoomScale="110" zoomScaleNormal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/>
  <cols>
    <col min="1" max="1" width="57.5703125" customWidth="1"/>
    <col min="2" max="2" width="14.7109375" customWidth="1"/>
    <col min="3" max="3" width="8.85546875" style="26" customWidth="1"/>
    <col min="4" max="5" width="12" customWidth="1"/>
    <col min="6" max="6" width="14.5703125" customWidth="1"/>
    <col min="7" max="7" width="13.5703125" bestFit="1" customWidth="1"/>
    <col min="8" max="8" width="13.42578125" customWidth="1"/>
    <col min="9" max="9" width="12.85546875" customWidth="1"/>
    <col min="10" max="10" width="13.140625" customWidth="1"/>
    <col min="11" max="11" width="12.42578125" bestFit="1" customWidth="1"/>
    <col min="12" max="12" width="15" customWidth="1"/>
    <col min="13" max="26" width="12.42578125" bestFit="1" customWidth="1"/>
    <col min="27" max="27" width="13.85546875" bestFit="1" customWidth="1"/>
    <col min="28" max="47" width="12.42578125" bestFit="1" customWidth="1"/>
    <col min="48" max="48" width="13.28515625" bestFit="1" customWidth="1"/>
  </cols>
  <sheetData>
    <row r="1" spans="1:47" hidden="1">
      <c r="A1" t="s">
        <v>0</v>
      </c>
      <c r="B1" s="23"/>
      <c r="C1" s="68" t="s">
        <v>56</v>
      </c>
      <c r="D1" s="13" t="s">
        <v>21</v>
      </c>
      <c r="E1" s="22"/>
      <c r="F1" s="22"/>
      <c r="G1" s="49">
        <v>0</v>
      </c>
      <c r="J1" s="52"/>
      <c r="K1" s="53" t="s">
        <v>48</v>
      </c>
      <c r="L1" s="53" t="s">
        <v>49</v>
      </c>
      <c r="M1" s="53" t="s">
        <v>50</v>
      </c>
      <c r="N1" s="53" t="s">
        <v>51</v>
      </c>
      <c r="T1" s="40" t="s">
        <v>31</v>
      </c>
      <c r="U1" s="39">
        <v>0</v>
      </c>
      <c r="V1" s="28" t="s">
        <v>41</v>
      </c>
      <c r="W1" s="28">
        <v>2</v>
      </c>
      <c r="X1" s="28"/>
    </row>
    <row r="2" spans="1:47" ht="12.75" hidden="1" customHeight="1">
      <c r="A2" t="s">
        <v>1</v>
      </c>
      <c r="D2" s="12" t="s">
        <v>22</v>
      </c>
      <c r="E2" s="11"/>
      <c r="F2" s="11"/>
      <c r="G2" s="50">
        <f>IF(C29="S",13,40)</f>
        <v>40</v>
      </c>
      <c r="H2" s="30"/>
      <c r="J2" s="53" t="s">
        <v>24</v>
      </c>
      <c r="K2" s="54">
        <v>57126</v>
      </c>
      <c r="L2" s="54">
        <v>0</v>
      </c>
      <c r="M2" s="55"/>
      <c r="N2" s="52"/>
      <c r="T2" s="29" t="s">
        <v>33</v>
      </c>
      <c r="U2" s="27" t="s">
        <v>34</v>
      </c>
      <c r="V2" s="28" t="s">
        <v>42</v>
      </c>
      <c r="W2" s="28"/>
      <c r="X2" s="28"/>
    </row>
    <row r="3" spans="1:47" ht="12.75" hidden="1" customHeight="1">
      <c r="D3" s="15"/>
      <c r="E3" s="14"/>
      <c r="F3" s="14"/>
      <c r="G3" s="51"/>
      <c r="J3" s="53" t="s">
        <v>25</v>
      </c>
      <c r="K3" s="54"/>
      <c r="L3" s="54"/>
      <c r="M3" s="56">
        <v>1.4709975935365898E-2</v>
      </c>
      <c r="N3" s="56">
        <v>6.6781810374185943E-3</v>
      </c>
      <c r="T3" s="34" t="s">
        <v>37</v>
      </c>
      <c r="U3" s="27">
        <v>40</v>
      </c>
      <c r="V3" s="47" t="s">
        <v>43</v>
      </c>
      <c r="W3" s="33"/>
      <c r="X3" s="33"/>
    </row>
    <row r="4" spans="1:47" ht="12.75" customHeight="1">
      <c r="A4" s="6" t="s">
        <v>2</v>
      </c>
      <c r="B4" s="66">
        <f>B34</f>
        <v>-12301566.373835187</v>
      </c>
      <c r="C4" s="37"/>
      <c r="D4" s="37">
        <v>11438439.165418578</v>
      </c>
      <c r="E4" s="6">
        <v>2013</v>
      </c>
      <c r="F4" s="6">
        <v>2014</v>
      </c>
      <c r="G4" s="6">
        <v>2015</v>
      </c>
      <c r="H4" s="6">
        <v>1</v>
      </c>
      <c r="I4" s="6">
        <v>2</v>
      </c>
      <c r="J4" s="6">
        <v>3</v>
      </c>
      <c r="K4" s="6">
        <v>4</v>
      </c>
      <c r="L4" s="6">
        <v>5</v>
      </c>
      <c r="M4" s="6">
        <v>6</v>
      </c>
      <c r="N4" s="6">
        <v>7</v>
      </c>
      <c r="O4" s="6">
        <v>8</v>
      </c>
      <c r="P4" s="6">
        <v>9</v>
      </c>
      <c r="Q4" s="6">
        <v>10</v>
      </c>
      <c r="R4" s="6">
        <v>11</v>
      </c>
      <c r="S4" s="6">
        <v>12</v>
      </c>
      <c r="T4" s="6">
        <v>13</v>
      </c>
      <c r="U4" s="6">
        <v>14</v>
      </c>
      <c r="V4" s="6">
        <v>15</v>
      </c>
      <c r="W4" s="6">
        <v>16</v>
      </c>
      <c r="X4" s="6">
        <v>17</v>
      </c>
      <c r="Y4" s="6">
        <v>18</v>
      </c>
      <c r="Z4" s="6">
        <v>19</v>
      </c>
      <c r="AA4" s="6">
        <v>20</v>
      </c>
      <c r="AB4" s="6">
        <v>21</v>
      </c>
      <c r="AC4" s="6">
        <v>22</v>
      </c>
      <c r="AD4" s="6">
        <v>23</v>
      </c>
      <c r="AE4" s="6">
        <v>24</v>
      </c>
      <c r="AF4" s="6">
        <v>25</v>
      </c>
      <c r="AG4" s="6">
        <v>26</v>
      </c>
      <c r="AH4" s="6">
        <v>27</v>
      </c>
      <c r="AI4" s="6">
        <v>28</v>
      </c>
      <c r="AJ4" s="6">
        <v>29</v>
      </c>
      <c r="AK4" s="6">
        <v>30</v>
      </c>
      <c r="AL4" s="6">
        <v>31</v>
      </c>
      <c r="AM4" s="6">
        <v>32</v>
      </c>
      <c r="AN4" s="6">
        <v>33</v>
      </c>
      <c r="AO4" s="6">
        <v>34</v>
      </c>
      <c r="AP4" s="6">
        <v>35</v>
      </c>
      <c r="AQ4" s="6">
        <v>36</v>
      </c>
      <c r="AR4" s="6">
        <v>37</v>
      </c>
      <c r="AS4" s="6">
        <v>38</v>
      </c>
      <c r="AT4" s="6">
        <v>39</v>
      </c>
      <c r="AU4" s="6">
        <v>40</v>
      </c>
    </row>
    <row r="5" spans="1:47">
      <c r="A5" s="6" t="s">
        <v>3</v>
      </c>
      <c r="B5" s="36">
        <f>D4-B4</f>
        <v>23740005.539253764</v>
      </c>
      <c r="C5" s="58"/>
      <c r="D5" s="37"/>
      <c r="E5" s="6">
        <v>0</v>
      </c>
      <c r="F5" s="6">
        <v>1</v>
      </c>
      <c r="G5" s="6">
        <v>2</v>
      </c>
      <c r="H5" s="6">
        <v>2016</v>
      </c>
      <c r="I5" s="6">
        <v>2017</v>
      </c>
      <c r="J5" s="6">
        <v>2018</v>
      </c>
      <c r="K5" s="6">
        <v>2019</v>
      </c>
      <c r="L5" s="6">
        <v>2020</v>
      </c>
      <c r="M5" s="6">
        <v>2021</v>
      </c>
      <c r="N5" s="6">
        <v>2022</v>
      </c>
      <c r="O5" s="6">
        <v>2023</v>
      </c>
      <c r="P5" s="6">
        <v>2024</v>
      </c>
      <c r="Q5" s="6">
        <v>2025</v>
      </c>
      <c r="R5" s="6">
        <v>2026</v>
      </c>
      <c r="S5" s="6">
        <v>2027</v>
      </c>
      <c r="T5" s="6">
        <v>2028</v>
      </c>
      <c r="U5" s="6">
        <v>2029</v>
      </c>
      <c r="V5" s="6">
        <v>2030</v>
      </c>
      <c r="W5" s="6">
        <v>2031</v>
      </c>
      <c r="X5" s="6">
        <v>2032</v>
      </c>
      <c r="Y5" s="6">
        <v>2033</v>
      </c>
      <c r="Z5" s="6">
        <v>2034</v>
      </c>
      <c r="AA5" s="6">
        <v>2035</v>
      </c>
      <c r="AB5" s="6">
        <v>2036</v>
      </c>
      <c r="AC5" s="6">
        <v>2037</v>
      </c>
      <c r="AD5" s="6">
        <v>2038</v>
      </c>
      <c r="AE5" s="6">
        <v>2039</v>
      </c>
      <c r="AF5" s="6">
        <v>2040</v>
      </c>
      <c r="AG5" s="6">
        <v>2041</v>
      </c>
      <c r="AH5" s="6">
        <v>2042</v>
      </c>
      <c r="AI5" s="6">
        <v>2043</v>
      </c>
      <c r="AJ5" s="6">
        <v>2044</v>
      </c>
      <c r="AK5" s="6">
        <v>2045</v>
      </c>
      <c r="AL5" s="6">
        <v>2046</v>
      </c>
      <c r="AM5" s="6">
        <v>2047</v>
      </c>
      <c r="AN5" s="6">
        <v>2048</v>
      </c>
      <c r="AO5" s="6">
        <v>2049</v>
      </c>
      <c r="AP5" s="6">
        <v>2050</v>
      </c>
      <c r="AQ5" s="6">
        <v>2051</v>
      </c>
      <c r="AR5" s="6">
        <v>2052</v>
      </c>
      <c r="AS5" s="6">
        <v>2053</v>
      </c>
      <c r="AT5" s="6">
        <v>2054</v>
      </c>
      <c r="AU5" s="6">
        <v>2055</v>
      </c>
    </row>
    <row r="6" spans="1:47" ht="6.75" customHeight="1">
      <c r="I6" s="32"/>
      <c r="J6" s="32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</row>
    <row r="7" spans="1:47">
      <c r="C7" s="67"/>
      <c r="H7" s="25" t="s">
        <v>52</v>
      </c>
      <c r="I7" s="32">
        <v>0.01</v>
      </c>
      <c r="J7" s="32">
        <f>IF(I7&gt;1%,2%,I7)</f>
        <v>0.01</v>
      </c>
      <c r="K7" s="57">
        <f>J7</f>
        <v>0.01</v>
      </c>
      <c r="L7" s="57">
        <f t="shared" ref="L7:AU7" si="0">K7</f>
        <v>0.01</v>
      </c>
      <c r="M7" s="57">
        <f t="shared" si="0"/>
        <v>0.01</v>
      </c>
      <c r="N7" s="57">
        <f t="shared" si="0"/>
        <v>0.01</v>
      </c>
      <c r="O7" s="57">
        <f t="shared" si="0"/>
        <v>0.01</v>
      </c>
      <c r="P7" s="57">
        <f t="shared" si="0"/>
        <v>0.01</v>
      </c>
      <c r="Q7" s="57">
        <f t="shared" si="0"/>
        <v>0.01</v>
      </c>
      <c r="R7" s="57">
        <f t="shared" si="0"/>
        <v>0.01</v>
      </c>
      <c r="S7" s="57">
        <f t="shared" si="0"/>
        <v>0.01</v>
      </c>
      <c r="T7" s="57">
        <f t="shared" si="0"/>
        <v>0.01</v>
      </c>
      <c r="U7" s="57">
        <f t="shared" si="0"/>
        <v>0.01</v>
      </c>
      <c r="V7" s="57">
        <f t="shared" si="0"/>
        <v>0.01</v>
      </c>
      <c r="W7" s="57">
        <f t="shared" si="0"/>
        <v>0.01</v>
      </c>
      <c r="X7" s="57">
        <f t="shared" si="0"/>
        <v>0.01</v>
      </c>
      <c r="Y7" s="57">
        <f t="shared" si="0"/>
        <v>0.01</v>
      </c>
      <c r="Z7" s="57">
        <f t="shared" si="0"/>
        <v>0.01</v>
      </c>
      <c r="AA7" s="57">
        <f t="shared" si="0"/>
        <v>0.01</v>
      </c>
      <c r="AB7" s="57">
        <f t="shared" si="0"/>
        <v>0.01</v>
      </c>
      <c r="AC7" s="57">
        <f t="shared" si="0"/>
        <v>0.01</v>
      </c>
      <c r="AD7" s="57">
        <f t="shared" si="0"/>
        <v>0.01</v>
      </c>
      <c r="AE7" s="57">
        <f t="shared" si="0"/>
        <v>0.01</v>
      </c>
      <c r="AF7" s="57">
        <f t="shared" si="0"/>
        <v>0.01</v>
      </c>
      <c r="AG7" s="57">
        <f t="shared" si="0"/>
        <v>0.01</v>
      </c>
      <c r="AH7" s="57">
        <f t="shared" si="0"/>
        <v>0.01</v>
      </c>
      <c r="AI7" s="57">
        <f t="shared" si="0"/>
        <v>0.01</v>
      </c>
      <c r="AJ7" s="57">
        <f t="shared" si="0"/>
        <v>0.01</v>
      </c>
      <c r="AK7" s="57">
        <f t="shared" si="0"/>
        <v>0.01</v>
      </c>
      <c r="AL7" s="57">
        <f t="shared" si="0"/>
        <v>0.01</v>
      </c>
      <c r="AM7" s="57">
        <f t="shared" si="0"/>
        <v>0.01</v>
      </c>
      <c r="AN7" s="57">
        <f t="shared" si="0"/>
        <v>0.01</v>
      </c>
      <c r="AO7" s="57">
        <f t="shared" si="0"/>
        <v>0.01</v>
      </c>
      <c r="AP7" s="57">
        <f t="shared" si="0"/>
        <v>0.01</v>
      </c>
      <c r="AQ7" s="57">
        <f t="shared" si="0"/>
        <v>0.01</v>
      </c>
      <c r="AR7" s="57">
        <f t="shared" si="0"/>
        <v>0.01</v>
      </c>
      <c r="AS7" s="57">
        <f t="shared" si="0"/>
        <v>0.01</v>
      </c>
      <c r="AT7" s="57">
        <f t="shared" si="0"/>
        <v>0.01</v>
      </c>
      <c r="AU7" s="57">
        <f t="shared" si="0"/>
        <v>0.01</v>
      </c>
    </row>
    <row r="8" spans="1:47">
      <c r="A8" s="4" t="s">
        <v>19</v>
      </c>
      <c r="B8" s="4"/>
      <c r="C8" s="59"/>
      <c r="H8" s="18" t="s">
        <v>29</v>
      </c>
      <c r="I8" s="7">
        <f>IF(B35="A",1.47%,IF(B35="B",1.61%,2.2%))</f>
        <v>1.47E-2</v>
      </c>
      <c r="J8" s="7">
        <f>I8</f>
        <v>1.47E-2</v>
      </c>
      <c r="K8" s="7">
        <f t="shared" ref="K8:AU8" si="1">J8</f>
        <v>1.47E-2</v>
      </c>
      <c r="L8" s="7">
        <f t="shared" si="1"/>
        <v>1.47E-2</v>
      </c>
      <c r="M8" s="7">
        <f t="shared" si="1"/>
        <v>1.47E-2</v>
      </c>
      <c r="N8" s="7">
        <f t="shared" si="1"/>
        <v>1.47E-2</v>
      </c>
      <c r="O8" s="7">
        <f t="shared" si="1"/>
        <v>1.47E-2</v>
      </c>
      <c r="P8" s="7">
        <f t="shared" si="1"/>
        <v>1.47E-2</v>
      </c>
      <c r="Q8" s="7">
        <f t="shared" si="1"/>
        <v>1.47E-2</v>
      </c>
      <c r="R8" s="7">
        <f t="shared" si="1"/>
        <v>1.47E-2</v>
      </c>
      <c r="S8" s="7">
        <f t="shared" si="1"/>
        <v>1.47E-2</v>
      </c>
      <c r="T8" s="7">
        <f t="shared" si="1"/>
        <v>1.47E-2</v>
      </c>
      <c r="U8" s="7">
        <f t="shared" si="1"/>
        <v>1.47E-2</v>
      </c>
      <c r="V8" s="7">
        <f t="shared" si="1"/>
        <v>1.47E-2</v>
      </c>
      <c r="W8" s="7">
        <f t="shared" si="1"/>
        <v>1.47E-2</v>
      </c>
      <c r="X8" s="7">
        <f t="shared" si="1"/>
        <v>1.47E-2</v>
      </c>
      <c r="Y8" s="7">
        <f t="shared" si="1"/>
        <v>1.47E-2</v>
      </c>
      <c r="Z8" s="7">
        <f t="shared" si="1"/>
        <v>1.47E-2</v>
      </c>
      <c r="AA8" s="7">
        <f t="shared" si="1"/>
        <v>1.47E-2</v>
      </c>
      <c r="AB8" s="7">
        <f t="shared" si="1"/>
        <v>1.47E-2</v>
      </c>
      <c r="AC8" s="7">
        <f t="shared" si="1"/>
        <v>1.47E-2</v>
      </c>
      <c r="AD8" s="7">
        <f t="shared" si="1"/>
        <v>1.47E-2</v>
      </c>
      <c r="AE8" s="7">
        <f t="shared" si="1"/>
        <v>1.47E-2</v>
      </c>
      <c r="AF8" s="7">
        <f t="shared" si="1"/>
        <v>1.47E-2</v>
      </c>
      <c r="AG8" s="7">
        <f t="shared" si="1"/>
        <v>1.47E-2</v>
      </c>
      <c r="AH8" s="7">
        <f t="shared" si="1"/>
        <v>1.47E-2</v>
      </c>
      <c r="AI8" s="7">
        <f t="shared" si="1"/>
        <v>1.47E-2</v>
      </c>
      <c r="AJ8" s="7">
        <f t="shared" si="1"/>
        <v>1.47E-2</v>
      </c>
      <c r="AK8" s="7">
        <f t="shared" si="1"/>
        <v>1.47E-2</v>
      </c>
      <c r="AL8" s="7">
        <f t="shared" si="1"/>
        <v>1.47E-2</v>
      </c>
      <c r="AM8" s="7">
        <f t="shared" si="1"/>
        <v>1.47E-2</v>
      </c>
      <c r="AN8" s="7">
        <f t="shared" si="1"/>
        <v>1.47E-2</v>
      </c>
      <c r="AO8" s="7">
        <f t="shared" si="1"/>
        <v>1.47E-2</v>
      </c>
      <c r="AP8" s="7">
        <f t="shared" si="1"/>
        <v>1.47E-2</v>
      </c>
      <c r="AQ8" s="7">
        <f t="shared" si="1"/>
        <v>1.47E-2</v>
      </c>
      <c r="AR8" s="7">
        <f t="shared" si="1"/>
        <v>1.47E-2</v>
      </c>
      <c r="AS8" s="7">
        <f t="shared" si="1"/>
        <v>1.47E-2</v>
      </c>
      <c r="AT8" s="7">
        <f t="shared" si="1"/>
        <v>1.47E-2</v>
      </c>
      <c r="AU8" s="7">
        <f t="shared" si="1"/>
        <v>1.47E-2</v>
      </c>
    </row>
    <row r="9" spans="1:47">
      <c r="B9" s="26" t="s">
        <v>23</v>
      </c>
      <c r="E9" s="6"/>
      <c r="F9" s="43" t="str">
        <f>IF(C10="A","MECL Option A",IF(C10="B","MECL Option B",IF(C10="C","MECL Option C","COS Pricing")))</f>
        <v>MECL Option A</v>
      </c>
      <c r="G9" s="6"/>
    </row>
    <row r="10" spans="1:47">
      <c r="A10" s="1" t="s">
        <v>4</v>
      </c>
      <c r="B10" s="65">
        <f t="shared" ref="B10:B26" si="2">NPV($B$33,E10:AU10)</f>
        <v>-7058424</v>
      </c>
      <c r="C10" s="78" t="s">
        <v>101</v>
      </c>
      <c r="E10" s="35">
        <f>-IF(C10="S",1,1+B33)*250000</f>
        <v>-261249.99999999997</v>
      </c>
      <c r="F10" s="35">
        <f>-(IF(C10="A",7058424,IF(C10="B",6867015,IF(C10="C",6517018,5014460)))+E10/IF(C10="S",1,(1+B33)))/2*IF(C10="S",1,(1+B33)^2)</f>
        <v>-3717484.6092999992</v>
      </c>
      <c r="G10" s="35">
        <f>F10*IF(C10="S",1,(1+B33))</f>
        <v>-3884771.4167184988</v>
      </c>
    </row>
    <row r="11" spans="1:47">
      <c r="A11" s="1" t="s">
        <v>67</v>
      </c>
      <c r="B11" s="65">
        <f t="shared" si="2"/>
        <v>-219535.67585174329</v>
      </c>
      <c r="C11" s="78" t="s">
        <v>102</v>
      </c>
      <c r="D11" s="21">
        <v>0.03</v>
      </c>
      <c r="E11" s="19">
        <f>IF($C$11="M",-E39,0)</f>
        <v>-3918.7499999999995</v>
      </c>
      <c r="F11" s="19">
        <f>IF($C$11="M",-F39,0)</f>
        <v>-63717.331639499978</v>
      </c>
      <c r="G11" s="19">
        <f>IF($C$11="M",-G39,0)</f>
        <v>-179662.69197896242</v>
      </c>
    </row>
    <row r="12" spans="1:47">
      <c r="A12" s="5" t="s">
        <v>83</v>
      </c>
      <c r="B12" s="65">
        <f t="shared" si="2"/>
        <v>-500000</v>
      </c>
      <c r="C12" s="78" t="s">
        <v>102</v>
      </c>
      <c r="E12" s="19">
        <f>IF(C12="S",0,-500000*(1+B33))</f>
        <v>-522499.99999999994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</row>
    <row r="13" spans="1:47">
      <c r="A13" s="1" t="s">
        <v>84</v>
      </c>
      <c r="B13" s="65">
        <f t="shared" si="2"/>
        <v>-224003.31941153621</v>
      </c>
      <c r="C13" s="78" t="s">
        <v>102</v>
      </c>
      <c r="E13" s="19">
        <v>0</v>
      </c>
      <c r="F13" s="19">
        <f>IF(C13="S",0,-125000)</f>
        <v>-125000</v>
      </c>
      <c r="G13" s="19">
        <f>F13</f>
        <v>-125000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</row>
    <row r="14" spans="1:47">
      <c r="A14" s="1" t="s">
        <v>5</v>
      </c>
      <c r="B14" s="65">
        <f t="shared" si="2"/>
        <v>-35834.544984026434</v>
      </c>
      <c r="C14" s="78" t="s">
        <v>102</v>
      </c>
      <c r="D14" s="21">
        <v>0</v>
      </c>
      <c r="E14" s="19">
        <v>0</v>
      </c>
      <c r="F14" s="19">
        <v>-2000</v>
      </c>
      <c r="G14" s="19">
        <f>F14</f>
        <v>-2000</v>
      </c>
      <c r="H14" s="19">
        <f t="shared" ref="H14:AU14" si="3">G14</f>
        <v>-2000</v>
      </c>
      <c r="I14" s="2">
        <f t="shared" si="3"/>
        <v>-2000</v>
      </c>
      <c r="J14" s="2">
        <f t="shared" si="3"/>
        <v>-2000</v>
      </c>
      <c r="K14" s="2">
        <f t="shared" si="3"/>
        <v>-2000</v>
      </c>
      <c r="L14" s="2">
        <f t="shared" si="3"/>
        <v>-2000</v>
      </c>
      <c r="M14" s="2">
        <f t="shared" si="3"/>
        <v>-2000</v>
      </c>
      <c r="N14" s="2">
        <f t="shared" si="3"/>
        <v>-2000</v>
      </c>
      <c r="O14" s="2">
        <f t="shared" si="3"/>
        <v>-2000</v>
      </c>
      <c r="P14" s="2">
        <f t="shared" si="3"/>
        <v>-2000</v>
      </c>
      <c r="Q14" s="2">
        <f t="shared" si="3"/>
        <v>-2000</v>
      </c>
      <c r="R14" s="2">
        <f t="shared" si="3"/>
        <v>-2000</v>
      </c>
      <c r="S14" s="2">
        <f t="shared" si="3"/>
        <v>-2000</v>
      </c>
      <c r="T14" s="2">
        <f t="shared" si="3"/>
        <v>-2000</v>
      </c>
      <c r="U14" s="2">
        <f t="shared" si="3"/>
        <v>-2000</v>
      </c>
      <c r="V14" s="2">
        <f t="shared" si="3"/>
        <v>-2000</v>
      </c>
      <c r="W14" s="2">
        <f t="shared" si="3"/>
        <v>-2000</v>
      </c>
      <c r="X14" s="2">
        <f t="shared" si="3"/>
        <v>-2000</v>
      </c>
      <c r="Y14" s="2">
        <f t="shared" si="3"/>
        <v>-2000</v>
      </c>
      <c r="Z14" s="2">
        <f t="shared" si="3"/>
        <v>-2000</v>
      </c>
      <c r="AA14" s="2">
        <f t="shared" si="3"/>
        <v>-2000</v>
      </c>
      <c r="AB14" s="2">
        <f t="shared" si="3"/>
        <v>-2000</v>
      </c>
      <c r="AC14" s="2">
        <f t="shared" si="3"/>
        <v>-2000</v>
      </c>
      <c r="AD14" s="2">
        <f t="shared" si="3"/>
        <v>-2000</v>
      </c>
      <c r="AE14" s="2">
        <f t="shared" si="3"/>
        <v>-2000</v>
      </c>
      <c r="AF14" s="2">
        <f t="shared" si="3"/>
        <v>-2000</v>
      </c>
      <c r="AG14" s="2">
        <f t="shared" si="3"/>
        <v>-2000</v>
      </c>
      <c r="AH14" s="2">
        <f t="shared" si="3"/>
        <v>-2000</v>
      </c>
      <c r="AI14" s="2">
        <f t="shared" si="3"/>
        <v>-2000</v>
      </c>
      <c r="AJ14" s="2">
        <f t="shared" si="3"/>
        <v>-2000</v>
      </c>
      <c r="AK14" s="2">
        <f t="shared" si="3"/>
        <v>-2000</v>
      </c>
      <c r="AL14" s="2">
        <f t="shared" si="3"/>
        <v>-2000</v>
      </c>
      <c r="AM14" s="2">
        <f t="shared" si="3"/>
        <v>-2000</v>
      </c>
      <c r="AN14" s="2">
        <f t="shared" si="3"/>
        <v>-2000</v>
      </c>
      <c r="AO14" s="2">
        <f t="shared" si="3"/>
        <v>-2000</v>
      </c>
      <c r="AP14" s="2">
        <f t="shared" si="3"/>
        <v>-2000</v>
      </c>
      <c r="AQ14" s="2">
        <f t="shared" si="3"/>
        <v>-2000</v>
      </c>
      <c r="AR14" s="2">
        <f t="shared" si="3"/>
        <v>-2000</v>
      </c>
      <c r="AS14" s="2">
        <f t="shared" si="3"/>
        <v>-2000</v>
      </c>
      <c r="AT14" s="2">
        <f t="shared" si="3"/>
        <v>-2000</v>
      </c>
      <c r="AU14" s="2">
        <f t="shared" si="3"/>
        <v>-2000</v>
      </c>
    </row>
    <row r="15" spans="1:47">
      <c r="A15" s="5" t="s">
        <v>46</v>
      </c>
      <c r="B15" s="65">
        <f t="shared" si="2"/>
        <v>-2515320.4425659068</v>
      </c>
      <c r="C15" s="78" t="s">
        <v>102</v>
      </c>
      <c r="D15" s="21">
        <v>0.02</v>
      </c>
      <c r="E15" s="19">
        <v>0</v>
      </c>
      <c r="F15" s="19">
        <v>0</v>
      </c>
      <c r="G15" s="19">
        <v>0</v>
      </c>
      <c r="H15" s="19">
        <f>IF(C15="S",-K2,M3*(E10+F10+G10))</f>
        <v>-115671.98441033684</v>
      </c>
      <c r="I15" s="2">
        <f>H15*(1+$D$15)</f>
        <v>-117985.42409854358</v>
      </c>
      <c r="J15" s="2">
        <f t="shared" ref="J15:AU15" si="4">I15*(1+$D$15)</f>
        <v>-120345.13258051444</v>
      </c>
      <c r="K15" s="2">
        <f t="shared" si="4"/>
        <v>-122752.03523212473</v>
      </c>
      <c r="L15" s="2">
        <f t="shared" si="4"/>
        <v>-125207.07593676723</v>
      </c>
      <c r="M15" s="2">
        <f t="shared" si="4"/>
        <v>-127711.21745550257</v>
      </c>
      <c r="N15" s="2">
        <f t="shared" si="4"/>
        <v>-130265.44180461262</v>
      </c>
      <c r="O15" s="2">
        <f t="shared" si="4"/>
        <v>-132870.75064070488</v>
      </c>
      <c r="P15" s="2">
        <f t="shared" si="4"/>
        <v>-135528.16565351898</v>
      </c>
      <c r="Q15" s="2">
        <f t="shared" si="4"/>
        <v>-138238.72896658938</v>
      </c>
      <c r="R15" s="2">
        <f t="shared" si="4"/>
        <v>-141003.50354592118</v>
      </c>
      <c r="S15" s="2">
        <f t="shared" si="4"/>
        <v>-143823.5736168396</v>
      </c>
      <c r="T15" s="2">
        <f t="shared" si="4"/>
        <v>-146700.04508917639</v>
      </c>
      <c r="U15" s="2">
        <f t="shared" si="4"/>
        <v>-149634.04599095992</v>
      </c>
      <c r="V15" s="2">
        <f t="shared" si="4"/>
        <v>-152626.72691077911</v>
      </c>
      <c r="W15" s="2">
        <f t="shared" si="4"/>
        <v>-155679.26144899469</v>
      </c>
      <c r="X15" s="2">
        <f t="shared" si="4"/>
        <v>-158792.84667797459</v>
      </c>
      <c r="Y15" s="2">
        <f t="shared" si="4"/>
        <v>-161968.70361153409</v>
      </c>
      <c r="Z15" s="2">
        <f t="shared" si="4"/>
        <v>-165208.07768376477</v>
      </c>
      <c r="AA15" s="2">
        <f t="shared" si="4"/>
        <v>-168512.23923744008</v>
      </c>
      <c r="AB15" s="2">
        <f t="shared" si="4"/>
        <v>-171882.48402218887</v>
      </c>
      <c r="AC15" s="2">
        <f t="shared" si="4"/>
        <v>-175320.13370263265</v>
      </c>
      <c r="AD15" s="2">
        <f t="shared" si="4"/>
        <v>-178826.53637668531</v>
      </c>
      <c r="AE15" s="2">
        <f t="shared" si="4"/>
        <v>-182403.06710421902</v>
      </c>
      <c r="AF15" s="2">
        <f t="shared" si="4"/>
        <v>-186051.1284463034</v>
      </c>
      <c r="AG15" s="2">
        <f t="shared" si="4"/>
        <v>-189772.15101522946</v>
      </c>
      <c r="AH15" s="2">
        <f t="shared" si="4"/>
        <v>-193567.59403553407</v>
      </c>
      <c r="AI15" s="2">
        <f t="shared" si="4"/>
        <v>-197438.94591624476</v>
      </c>
      <c r="AJ15" s="2">
        <f t="shared" si="4"/>
        <v>-201387.72483456967</v>
      </c>
      <c r="AK15" s="2">
        <f t="shared" si="4"/>
        <v>-205415.47933126107</v>
      </c>
      <c r="AL15" s="2">
        <f t="shared" si="4"/>
        <v>-209523.7889178863</v>
      </c>
      <c r="AM15" s="2">
        <f t="shared" si="4"/>
        <v>-213714.26469624403</v>
      </c>
      <c r="AN15" s="2">
        <f t="shared" si="4"/>
        <v>-217988.54999016892</v>
      </c>
      <c r="AO15" s="2">
        <f t="shared" si="4"/>
        <v>-222348.3209899723</v>
      </c>
      <c r="AP15" s="2">
        <f t="shared" si="4"/>
        <v>-226795.28740977176</v>
      </c>
      <c r="AQ15" s="2">
        <f t="shared" si="4"/>
        <v>-231331.19315796721</v>
      </c>
      <c r="AR15" s="2">
        <f t="shared" si="4"/>
        <v>-235957.81702112657</v>
      </c>
      <c r="AS15" s="2">
        <f t="shared" si="4"/>
        <v>-240676.97336154911</v>
      </c>
      <c r="AT15" s="2">
        <f t="shared" si="4"/>
        <v>-245490.51282878011</v>
      </c>
      <c r="AU15" s="2">
        <f t="shared" si="4"/>
        <v>-250400.32308535572</v>
      </c>
    </row>
    <row r="16" spans="1:47">
      <c r="A16" s="5" t="s">
        <v>47</v>
      </c>
      <c r="B16" s="65">
        <f t="shared" si="2"/>
        <v>-1141930.167417174</v>
      </c>
      <c r="C16" s="78" t="s">
        <v>102</v>
      </c>
      <c r="D16" s="21">
        <v>0.02</v>
      </c>
      <c r="E16" s="19">
        <v>0</v>
      </c>
      <c r="F16" s="19">
        <v>0</v>
      </c>
      <c r="G16" s="19">
        <v>0</v>
      </c>
      <c r="H16" s="19">
        <f>IF(C16="S",-L2,N3*(E10+F10+G10))</f>
        <v>-52513.916830583585</v>
      </c>
      <c r="I16" s="2">
        <f>H16*(1+$D$16)</f>
        <v>-53564.195167195256</v>
      </c>
      <c r="J16" s="2">
        <f t="shared" ref="J16:AU16" si="5">I16*(1+$D$16)</f>
        <v>-54635.479070539164</v>
      </c>
      <c r="K16" s="2">
        <f t="shared" si="5"/>
        <v>-55728.188651949946</v>
      </c>
      <c r="L16" s="2">
        <f t="shared" si="5"/>
        <v>-56842.752424988947</v>
      </c>
      <c r="M16" s="2">
        <f t="shared" si="5"/>
        <v>-57979.60747348873</v>
      </c>
      <c r="N16" s="2">
        <f t="shared" si="5"/>
        <v>-59139.199622958506</v>
      </c>
      <c r="O16" s="2">
        <f t="shared" si="5"/>
        <v>-60321.983615417674</v>
      </c>
      <c r="P16" s="2">
        <f t="shared" si="5"/>
        <v>-61528.423287726029</v>
      </c>
      <c r="Q16" s="2">
        <f t="shared" si="5"/>
        <v>-62758.99175348055</v>
      </c>
      <c r="R16" s="2">
        <f t="shared" si="5"/>
        <v>-64014.171588550162</v>
      </c>
      <c r="S16" s="2">
        <f t="shared" si="5"/>
        <v>-65294.455020321169</v>
      </c>
      <c r="T16" s="2">
        <f t="shared" si="5"/>
        <v>-66600.34412072759</v>
      </c>
      <c r="U16" s="2">
        <f t="shared" si="5"/>
        <v>-67932.351003142147</v>
      </c>
      <c r="V16" s="2">
        <f t="shared" si="5"/>
        <v>-69290.998023204986</v>
      </c>
      <c r="W16" s="2">
        <f t="shared" si="5"/>
        <v>-70676.817983669083</v>
      </c>
      <c r="X16" s="2">
        <f t="shared" si="5"/>
        <v>-72090.354343342464</v>
      </c>
      <c r="Y16" s="2">
        <f t="shared" si="5"/>
        <v>-73532.161430209308</v>
      </c>
      <c r="Z16" s="2">
        <f t="shared" si="5"/>
        <v>-75002.804658813489</v>
      </c>
      <c r="AA16" s="2">
        <f t="shared" si="5"/>
        <v>-76502.860751989763</v>
      </c>
      <c r="AB16" s="2">
        <f t="shared" si="5"/>
        <v>-78032.917967029556</v>
      </c>
      <c r="AC16" s="2">
        <f t="shared" si="5"/>
        <v>-79593.576326370152</v>
      </c>
      <c r="AD16" s="2">
        <f t="shared" si="5"/>
        <v>-81185.44785289756</v>
      </c>
      <c r="AE16" s="2">
        <f t="shared" si="5"/>
        <v>-82809.156809955515</v>
      </c>
      <c r="AF16" s="2">
        <f t="shared" si="5"/>
        <v>-84465.339946154621</v>
      </c>
      <c r="AG16" s="2">
        <f t="shared" si="5"/>
        <v>-86154.646745077713</v>
      </c>
      <c r="AH16" s="2">
        <f t="shared" si="5"/>
        <v>-87877.739679979262</v>
      </c>
      <c r="AI16" s="2">
        <f t="shared" si="5"/>
        <v>-89635.294473578848</v>
      </c>
      <c r="AJ16" s="2">
        <f t="shared" si="5"/>
        <v>-91428.000363050422</v>
      </c>
      <c r="AK16" s="2">
        <f t="shared" si="5"/>
        <v>-93256.560370311432</v>
      </c>
      <c r="AL16" s="2">
        <f t="shared" si="5"/>
        <v>-95121.691577717662</v>
      </c>
      <c r="AM16" s="2">
        <f t="shared" si="5"/>
        <v>-97024.125409272019</v>
      </c>
      <c r="AN16" s="2">
        <f t="shared" si="5"/>
        <v>-98964.607917457455</v>
      </c>
      <c r="AO16" s="2">
        <f t="shared" si="5"/>
        <v>-100943.90007580661</v>
      </c>
      <c r="AP16" s="2">
        <f t="shared" si="5"/>
        <v>-102962.77807732274</v>
      </c>
      <c r="AQ16" s="2">
        <f t="shared" si="5"/>
        <v>-105022.03363886919</v>
      </c>
      <c r="AR16" s="2">
        <f t="shared" si="5"/>
        <v>-107122.47431164658</v>
      </c>
      <c r="AS16" s="2">
        <f t="shared" si="5"/>
        <v>-109264.92379787951</v>
      </c>
      <c r="AT16" s="2">
        <f t="shared" si="5"/>
        <v>-111450.22227383711</v>
      </c>
      <c r="AU16" s="2">
        <f t="shared" si="5"/>
        <v>-113679.22671931385</v>
      </c>
    </row>
    <row r="17" spans="1:48">
      <c r="A17" s="5" t="s">
        <v>60</v>
      </c>
      <c r="B17" s="65">
        <f t="shared" si="2"/>
        <v>-8817062.5854602568</v>
      </c>
      <c r="C17" s="78" t="s">
        <v>102</v>
      </c>
      <c r="D17" s="21">
        <f>IF(C17="S",J7,IF(C17="M",1%,2%))</f>
        <v>0.01</v>
      </c>
      <c r="E17" s="19">
        <v>0</v>
      </c>
      <c r="F17" s="19">
        <v>0</v>
      </c>
      <c r="G17" s="19">
        <v>0</v>
      </c>
      <c r="H17" s="19">
        <f>-IF(C17="S",72351,IF(C17="M",H65*(1-H93)*(1-H94),72351*(1+D17)^4))</f>
        <v>-386826.02946264914</v>
      </c>
      <c r="I17" s="2">
        <f t="shared" ref="I17:T17" si="6">IF($C$17="M",-I65*(1-I93)*(1-I94),H17*(1+IF($C$17="S",I7,$D$17)))</f>
        <v>-398433.74266233487</v>
      </c>
      <c r="J17" s="2">
        <f t="shared" si="6"/>
        <v>-410422.04500266211</v>
      </c>
      <c r="K17" s="2">
        <f t="shared" si="6"/>
        <v>-422804.61954637407</v>
      </c>
      <c r="L17" s="2">
        <f t="shared" si="6"/>
        <v>-436142.75457709772</v>
      </c>
      <c r="M17" s="2">
        <f t="shared" si="6"/>
        <v>-449117.10005606199</v>
      </c>
      <c r="N17" s="2">
        <f t="shared" si="6"/>
        <v>-462517.59590378584</v>
      </c>
      <c r="O17" s="2">
        <f t="shared" si="6"/>
        <v>-419204.09139635909</v>
      </c>
      <c r="P17" s="2">
        <f t="shared" si="6"/>
        <v>-431791.47367054183</v>
      </c>
      <c r="Q17" s="2">
        <f t="shared" si="6"/>
        <v>-444792.66086058941</v>
      </c>
      <c r="R17" s="2">
        <f t="shared" si="6"/>
        <v>-458220.85646432429</v>
      </c>
      <c r="S17" s="2">
        <f t="shared" si="6"/>
        <v>-472457.35226939892</v>
      </c>
      <c r="T17" s="2">
        <f t="shared" si="6"/>
        <v>-486556.78954930406</v>
      </c>
      <c r="U17" s="2">
        <f t="shared" ref="U17:AU17" si="7">IF($C$17="M",IF($C$29="M",-U72,-U65)*(1-U93)*(1-U94),T17*(1+IF($C$17="S",U7,$D$17)))</f>
        <v>-501129.64051299117</v>
      </c>
      <c r="V17" s="2">
        <f t="shared" si="7"/>
        <v>-472060.95997274236</v>
      </c>
      <c r="W17" s="2">
        <f t="shared" si="7"/>
        <v>-488659.70518972154</v>
      </c>
      <c r="X17" s="2">
        <f t="shared" si="7"/>
        <v>-505832.01835327124</v>
      </c>
      <c r="Y17" s="2">
        <f t="shared" si="7"/>
        <v>-523582.59588204534</v>
      </c>
      <c r="Z17" s="2">
        <f t="shared" si="7"/>
        <v>-541829.24718055152</v>
      </c>
      <c r="AA17" s="2">
        <f t="shared" si="7"/>
        <v>-560606.58582389355</v>
      </c>
      <c r="AB17" s="2">
        <f t="shared" si="7"/>
        <v>-580036.06833120994</v>
      </c>
      <c r="AC17" s="2">
        <f t="shared" si="7"/>
        <v>-600118.71814447572</v>
      </c>
      <c r="AD17" s="2">
        <f t="shared" si="7"/>
        <v>-620797.9480532062</v>
      </c>
      <c r="AE17" s="2">
        <f t="shared" si="7"/>
        <v>-642054.89871906454</v>
      </c>
      <c r="AF17" s="2">
        <f t="shared" si="7"/>
        <v>-664047.1017592235</v>
      </c>
      <c r="AG17" s="2">
        <f t="shared" si="7"/>
        <v>-686774.61581533006</v>
      </c>
      <c r="AH17" s="2">
        <f t="shared" si="7"/>
        <v>-710144.78830090375</v>
      </c>
      <c r="AI17" s="2">
        <f t="shared" si="7"/>
        <v>-734223.40444041463</v>
      </c>
      <c r="AJ17" s="2">
        <f t="shared" si="7"/>
        <v>-759122.30831498594</v>
      </c>
      <c r="AK17" s="2">
        <f t="shared" si="7"/>
        <v>-784847.01855707204</v>
      </c>
      <c r="AL17" s="2">
        <f t="shared" si="7"/>
        <v>-811219.4662757772</v>
      </c>
      <c r="AM17" s="2">
        <f t="shared" si="7"/>
        <v>-838499.80664947419</v>
      </c>
      <c r="AN17" s="2">
        <f t="shared" si="7"/>
        <v>-866689.71229748824</v>
      </c>
      <c r="AO17" s="2">
        <f t="shared" si="7"/>
        <v>-895662.32722092979</v>
      </c>
      <c r="AP17" s="2">
        <f t="shared" si="7"/>
        <v>-925559.02694736177</v>
      </c>
      <c r="AQ17" s="2">
        <f t="shared" si="7"/>
        <v>-956455.99505838519</v>
      </c>
      <c r="AR17" s="2">
        <f t="shared" si="7"/>
        <v>-988242.24495756079</v>
      </c>
      <c r="AS17" s="2">
        <f t="shared" si="7"/>
        <v>-1021017.3806300187</v>
      </c>
      <c r="AT17" s="2">
        <f t="shared" si="7"/>
        <v>-1054887.0341071184</v>
      </c>
      <c r="AU17" s="2">
        <f t="shared" si="7"/>
        <v>-1089724.839311887</v>
      </c>
    </row>
    <row r="18" spans="1:48">
      <c r="A18" s="38" t="s">
        <v>55</v>
      </c>
      <c r="B18" s="65">
        <f t="shared" si="2"/>
        <v>-207999.99999999997</v>
      </c>
      <c r="C18" s="17" t="s">
        <v>102</v>
      </c>
      <c r="D18" s="21"/>
      <c r="E18" s="19">
        <v>0</v>
      </c>
      <c r="F18" s="19">
        <v>0</v>
      </c>
      <c r="G18" s="19">
        <v>0</v>
      </c>
      <c r="H18" s="19">
        <f>-IF(C18="S",208000,208000*(1+B33)^4)</f>
        <v>-248043.86892999988</v>
      </c>
      <c r="I18" s="2">
        <v>0</v>
      </c>
      <c r="J18" s="2">
        <f t="shared" ref="J18:AU18" si="8">I18*(1+$D$18)</f>
        <v>0</v>
      </c>
      <c r="K18" s="2">
        <f t="shared" si="8"/>
        <v>0</v>
      </c>
      <c r="L18" s="2">
        <f t="shared" si="8"/>
        <v>0</v>
      </c>
      <c r="M18" s="2">
        <f t="shared" si="8"/>
        <v>0</v>
      </c>
      <c r="N18" s="2">
        <f t="shared" si="8"/>
        <v>0</v>
      </c>
      <c r="O18" s="2">
        <f t="shared" si="8"/>
        <v>0</v>
      </c>
      <c r="P18" s="2">
        <f t="shared" si="8"/>
        <v>0</v>
      </c>
      <c r="Q18" s="2">
        <f t="shared" si="8"/>
        <v>0</v>
      </c>
      <c r="R18" s="2">
        <f t="shared" si="8"/>
        <v>0</v>
      </c>
      <c r="S18" s="2">
        <f t="shared" si="8"/>
        <v>0</v>
      </c>
      <c r="T18" s="2">
        <f t="shared" si="8"/>
        <v>0</v>
      </c>
      <c r="U18" s="2">
        <f t="shared" si="8"/>
        <v>0</v>
      </c>
      <c r="V18" s="2">
        <f t="shared" si="8"/>
        <v>0</v>
      </c>
      <c r="W18" s="2">
        <f t="shared" si="8"/>
        <v>0</v>
      </c>
      <c r="X18" s="2">
        <f t="shared" si="8"/>
        <v>0</v>
      </c>
      <c r="Y18" s="2">
        <f t="shared" si="8"/>
        <v>0</v>
      </c>
      <c r="Z18" s="2">
        <f t="shared" si="8"/>
        <v>0</v>
      </c>
      <c r="AA18" s="2">
        <f t="shared" si="8"/>
        <v>0</v>
      </c>
      <c r="AB18" s="2">
        <f t="shared" si="8"/>
        <v>0</v>
      </c>
      <c r="AC18" s="2">
        <f t="shared" si="8"/>
        <v>0</v>
      </c>
      <c r="AD18" s="2">
        <f t="shared" si="8"/>
        <v>0</v>
      </c>
      <c r="AE18" s="2">
        <f t="shared" si="8"/>
        <v>0</v>
      </c>
      <c r="AF18" s="2">
        <f t="shared" si="8"/>
        <v>0</v>
      </c>
      <c r="AG18" s="2">
        <f t="shared" si="8"/>
        <v>0</v>
      </c>
      <c r="AH18" s="2">
        <f t="shared" si="8"/>
        <v>0</v>
      </c>
      <c r="AI18" s="2">
        <f t="shared" si="8"/>
        <v>0</v>
      </c>
      <c r="AJ18" s="2">
        <f t="shared" si="8"/>
        <v>0</v>
      </c>
      <c r="AK18" s="2">
        <f t="shared" si="8"/>
        <v>0</v>
      </c>
      <c r="AL18" s="2">
        <f t="shared" si="8"/>
        <v>0</v>
      </c>
      <c r="AM18" s="2">
        <f t="shared" si="8"/>
        <v>0</v>
      </c>
      <c r="AN18" s="2">
        <f t="shared" si="8"/>
        <v>0</v>
      </c>
      <c r="AO18" s="2">
        <f t="shared" si="8"/>
        <v>0</v>
      </c>
      <c r="AP18" s="2">
        <f t="shared" si="8"/>
        <v>0</v>
      </c>
      <c r="AQ18" s="2">
        <f t="shared" si="8"/>
        <v>0</v>
      </c>
      <c r="AR18" s="2">
        <f t="shared" si="8"/>
        <v>0</v>
      </c>
      <c r="AS18" s="2">
        <f t="shared" si="8"/>
        <v>0</v>
      </c>
      <c r="AT18" s="2">
        <f t="shared" si="8"/>
        <v>0</v>
      </c>
      <c r="AU18" s="2">
        <f t="shared" si="8"/>
        <v>0</v>
      </c>
    </row>
    <row r="19" spans="1:48">
      <c r="A19" s="38" t="s">
        <v>30</v>
      </c>
      <c r="B19" s="65">
        <f t="shared" si="2"/>
        <v>0</v>
      </c>
      <c r="C19" s="17" t="s">
        <v>102</v>
      </c>
      <c r="D19" s="21">
        <v>0</v>
      </c>
      <c r="E19" s="19">
        <v>0</v>
      </c>
      <c r="F19" s="19">
        <v>0</v>
      </c>
      <c r="G19" s="19">
        <v>0</v>
      </c>
      <c r="H19" s="19">
        <f>IF(C19="S",-995*12,0)</f>
        <v>0</v>
      </c>
      <c r="I19" s="2">
        <f t="shared" ref="I19:Q19" si="9">H19*(1+$D$19)</f>
        <v>0</v>
      </c>
      <c r="J19" s="2">
        <f t="shared" si="9"/>
        <v>0</v>
      </c>
      <c r="K19" s="2">
        <f t="shared" si="9"/>
        <v>0</v>
      </c>
      <c r="L19" s="2">
        <f t="shared" si="9"/>
        <v>0</v>
      </c>
      <c r="M19" s="2">
        <f t="shared" si="9"/>
        <v>0</v>
      </c>
      <c r="N19" s="2">
        <f t="shared" si="9"/>
        <v>0</v>
      </c>
      <c r="O19" s="2">
        <f t="shared" si="9"/>
        <v>0</v>
      </c>
      <c r="P19" s="2">
        <f t="shared" si="9"/>
        <v>0</v>
      </c>
      <c r="Q19" s="2">
        <f t="shared" si="9"/>
        <v>0</v>
      </c>
      <c r="R19" s="2">
        <f>Q19*(1+$D$19)</f>
        <v>0</v>
      </c>
      <c r="S19" s="2">
        <f t="shared" ref="S19:AU19" si="10">R19*(1+$D$19)</f>
        <v>0</v>
      </c>
      <c r="T19" s="2">
        <f t="shared" si="10"/>
        <v>0</v>
      </c>
      <c r="U19" s="2">
        <f t="shared" si="10"/>
        <v>0</v>
      </c>
      <c r="V19" s="2">
        <f t="shared" si="10"/>
        <v>0</v>
      </c>
      <c r="W19" s="2">
        <f t="shared" si="10"/>
        <v>0</v>
      </c>
      <c r="X19" s="2">
        <f t="shared" si="10"/>
        <v>0</v>
      </c>
      <c r="Y19" s="2">
        <f t="shared" si="10"/>
        <v>0</v>
      </c>
      <c r="Z19" s="2">
        <f t="shared" si="10"/>
        <v>0</v>
      </c>
      <c r="AA19" s="2">
        <f t="shared" si="10"/>
        <v>0</v>
      </c>
      <c r="AB19" s="2">
        <f t="shared" si="10"/>
        <v>0</v>
      </c>
      <c r="AC19" s="2">
        <f t="shared" si="10"/>
        <v>0</v>
      </c>
      <c r="AD19" s="2">
        <f t="shared" si="10"/>
        <v>0</v>
      </c>
      <c r="AE19" s="2">
        <f t="shared" si="10"/>
        <v>0</v>
      </c>
      <c r="AF19" s="2">
        <f t="shared" si="10"/>
        <v>0</v>
      </c>
      <c r="AG19" s="2">
        <f t="shared" si="10"/>
        <v>0</v>
      </c>
      <c r="AH19" s="2">
        <f t="shared" si="10"/>
        <v>0</v>
      </c>
      <c r="AI19" s="2">
        <f t="shared" si="10"/>
        <v>0</v>
      </c>
      <c r="AJ19" s="2">
        <f t="shared" si="10"/>
        <v>0</v>
      </c>
      <c r="AK19" s="2">
        <f t="shared" si="10"/>
        <v>0</v>
      </c>
      <c r="AL19" s="2">
        <f t="shared" si="10"/>
        <v>0</v>
      </c>
      <c r="AM19" s="2">
        <f t="shared" si="10"/>
        <v>0</v>
      </c>
      <c r="AN19" s="2">
        <f t="shared" si="10"/>
        <v>0</v>
      </c>
      <c r="AO19" s="2">
        <f t="shared" si="10"/>
        <v>0</v>
      </c>
      <c r="AP19" s="2">
        <f t="shared" si="10"/>
        <v>0</v>
      </c>
      <c r="AQ19" s="2">
        <f t="shared" si="10"/>
        <v>0</v>
      </c>
      <c r="AR19" s="2">
        <f t="shared" si="10"/>
        <v>0</v>
      </c>
      <c r="AS19" s="2">
        <f t="shared" si="10"/>
        <v>0</v>
      </c>
      <c r="AT19" s="2">
        <f t="shared" si="10"/>
        <v>0</v>
      </c>
      <c r="AU19" s="2">
        <f t="shared" si="10"/>
        <v>0</v>
      </c>
    </row>
    <row r="20" spans="1:48">
      <c r="A20" s="5" t="s">
        <v>99</v>
      </c>
      <c r="B20" s="65">
        <f t="shared" si="2"/>
        <v>-2047541.7338802966</v>
      </c>
      <c r="C20" s="78" t="s">
        <v>102</v>
      </c>
      <c r="D20" s="21">
        <v>0.02</v>
      </c>
      <c r="E20" s="19">
        <v>0</v>
      </c>
      <c r="F20" s="19">
        <v>0</v>
      </c>
      <c r="G20" s="19">
        <f>IF(C20="S",0,-1500000*(1+B33)^3)</f>
        <v>-1711749.1874999998</v>
      </c>
      <c r="H20" s="19">
        <f>IF(C20="S",0,M3*G20)</f>
        <v>-25179.789355507124</v>
      </c>
      <c r="I20" s="19">
        <f>H20*(1+$D$20)</f>
        <v>-25683.385142617266</v>
      </c>
      <c r="J20" s="75">
        <f t="shared" ref="J20:AU20" si="11">I20*(1+$D$20)</f>
        <v>-26197.05284546961</v>
      </c>
      <c r="K20" s="75">
        <f t="shared" si="11"/>
        <v>-26720.993902379003</v>
      </c>
      <c r="L20" s="75">
        <f t="shared" si="11"/>
        <v>-27255.413780426585</v>
      </c>
      <c r="M20" s="75">
        <f t="shared" si="11"/>
        <v>-27800.522056035115</v>
      </c>
      <c r="N20" s="75">
        <f t="shared" si="11"/>
        <v>-28356.532497155818</v>
      </c>
      <c r="O20" s="75">
        <f t="shared" si="11"/>
        <v>-28923.663147098934</v>
      </c>
      <c r="P20" s="75">
        <f t="shared" si="11"/>
        <v>-29502.136410040912</v>
      </c>
      <c r="Q20" s="75">
        <f t="shared" si="11"/>
        <v>-30092.179138241732</v>
      </c>
      <c r="R20" s="75">
        <f t="shared" si="11"/>
        <v>-30694.022721006568</v>
      </c>
      <c r="S20" s="75">
        <f t="shared" si="11"/>
        <v>-31307.903175426698</v>
      </c>
      <c r="T20" s="75">
        <f t="shared" si="11"/>
        <v>-31934.061238935232</v>
      </c>
      <c r="U20" s="75">
        <f t="shared" si="11"/>
        <v>-32572.742463713937</v>
      </c>
      <c r="V20" s="75">
        <f t="shared" si="11"/>
        <v>-33224.197312988217</v>
      </c>
      <c r="W20" s="75">
        <f t="shared" si="11"/>
        <v>-33888.681259247984</v>
      </c>
      <c r="X20" s="75">
        <f t="shared" si="11"/>
        <v>-34566.454884432947</v>
      </c>
      <c r="Y20" s="75">
        <f t="shared" si="11"/>
        <v>-35257.783982121604</v>
      </c>
      <c r="Z20" s="75">
        <f t="shared" si="11"/>
        <v>-35962.939661764038</v>
      </c>
      <c r="AA20" s="75">
        <f t="shared" si="11"/>
        <v>-36682.198454999321</v>
      </c>
      <c r="AB20" s="75">
        <f t="shared" si="11"/>
        <v>-37415.842424099312</v>
      </c>
      <c r="AC20" s="75">
        <f t="shared" si="11"/>
        <v>-38164.159272581295</v>
      </c>
      <c r="AD20" s="75">
        <f t="shared" si="11"/>
        <v>-38927.442458032921</v>
      </c>
      <c r="AE20" s="75">
        <f t="shared" si="11"/>
        <v>-39705.991307193581</v>
      </c>
      <c r="AF20" s="75">
        <f t="shared" si="11"/>
        <v>-40500.11113333745</v>
      </c>
      <c r="AG20" s="75">
        <f t="shared" si="11"/>
        <v>-41310.1133560042</v>
      </c>
      <c r="AH20" s="75">
        <f t="shared" si="11"/>
        <v>-42136.315623124283</v>
      </c>
      <c r="AI20" s="75">
        <f t="shared" si="11"/>
        <v>-42979.041935586771</v>
      </c>
      <c r="AJ20" s="75">
        <f t="shared" si="11"/>
        <v>-43838.622774298507</v>
      </c>
      <c r="AK20" s="75">
        <f t="shared" si="11"/>
        <v>-44715.395229784481</v>
      </c>
      <c r="AL20" s="75">
        <f t="shared" si="11"/>
        <v>-45609.703134380172</v>
      </c>
      <c r="AM20" s="75">
        <f t="shared" si="11"/>
        <v>-46521.897197067774</v>
      </c>
      <c r="AN20" s="75">
        <f t="shared" si="11"/>
        <v>-47452.335141009127</v>
      </c>
      <c r="AO20" s="75">
        <f t="shared" si="11"/>
        <v>-48401.381843829309</v>
      </c>
      <c r="AP20" s="75">
        <f t="shared" si="11"/>
        <v>-49369.409480705894</v>
      </c>
      <c r="AQ20" s="75">
        <f t="shared" si="11"/>
        <v>-50356.797670320011</v>
      </c>
      <c r="AR20" s="75">
        <f t="shared" si="11"/>
        <v>-51363.933623726414</v>
      </c>
      <c r="AS20" s="75">
        <f t="shared" si="11"/>
        <v>-52391.212296200945</v>
      </c>
      <c r="AT20" s="75">
        <f t="shared" si="11"/>
        <v>-53439.036542124966</v>
      </c>
      <c r="AU20" s="75">
        <f t="shared" si="11"/>
        <v>-54507.81727296747</v>
      </c>
    </row>
    <row r="21" spans="1:48">
      <c r="A21" s="1" t="s">
        <v>27</v>
      </c>
      <c r="B21" s="65">
        <f t="shared" si="2"/>
        <v>0</v>
      </c>
      <c r="C21" s="78" t="s">
        <v>102</v>
      </c>
      <c r="D21" s="21">
        <f>IF(C21="S",J7,1%)</f>
        <v>0.01</v>
      </c>
      <c r="E21" s="19">
        <v>0</v>
      </c>
      <c r="F21" s="19">
        <v>0</v>
      </c>
      <c r="G21" s="19">
        <v>0</v>
      </c>
      <c r="H21" s="19">
        <f>-IF(C21="S",6470,0)</f>
        <v>0</v>
      </c>
      <c r="I21" s="2">
        <f t="shared" ref="I21:AU21" si="12">H21*(1+IF($C$21="S",I7,$D$21))</f>
        <v>0</v>
      </c>
      <c r="J21" s="2">
        <f t="shared" si="12"/>
        <v>0</v>
      </c>
      <c r="K21" s="2">
        <f t="shared" si="12"/>
        <v>0</v>
      </c>
      <c r="L21" s="2">
        <f t="shared" si="12"/>
        <v>0</v>
      </c>
      <c r="M21" s="2">
        <f t="shared" si="12"/>
        <v>0</v>
      </c>
      <c r="N21" s="2">
        <f t="shared" si="12"/>
        <v>0</v>
      </c>
      <c r="O21" s="2">
        <f t="shared" si="12"/>
        <v>0</v>
      </c>
      <c r="P21" s="2">
        <f t="shared" si="12"/>
        <v>0</v>
      </c>
      <c r="Q21" s="2">
        <f t="shared" si="12"/>
        <v>0</v>
      </c>
      <c r="R21" s="2">
        <f t="shared" si="12"/>
        <v>0</v>
      </c>
      <c r="S21" s="2">
        <f t="shared" si="12"/>
        <v>0</v>
      </c>
      <c r="T21" s="2">
        <f t="shared" si="12"/>
        <v>0</v>
      </c>
      <c r="U21" s="2">
        <f t="shared" si="12"/>
        <v>0</v>
      </c>
      <c r="V21" s="2">
        <f t="shared" si="12"/>
        <v>0</v>
      </c>
      <c r="W21" s="2">
        <f t="shared" si="12"/>
        <v>0</v>
      </c>
      <c r="X21" s="2">
        <f t="shared" si="12"/>
        <v>0</v>
      </c>
      <c r="Y21" s="2">
        <f t="shared" si="12"/>
        <v>0</v>
      </c>
      <c r="Z21" s="2">
        <f t="shared" si="12"/>
        <v>0</v>
      </c>
      <c r="AA21" s="2">
        <f t="shared" si="12"/>
        <v>0</v>
      </c>
      <c r="AB21" s="2">
        <f t="shared" si="12"/>
        <v>0</v>
      </c>
      <c r="AC21" s="2">
        <f t="shared" si="12"/>
        <v>0</v>
      </c>
      <c r="AD21" s="2">
        <f t="shared" si="12"/>
        <v>0</v>
      </c>
      <c r="AE21" s="2">
        <f t="shared" si="12"/>
        <v>0</v>
      </c>
      <c r="AF21" s="2">
        <f t="shared" si="12"/>
        <v>0</v>
      </c>
      <c r="AG21" s="2">
        <f t="shared" si="12"/>
        <v>0</v>
      </c>
      <c r="AH21" s="2">
        <f t="shared" si="12"/>
        <v>0</v>
      </c>
      <c r="AI21" s="2">
        <f t="shared" si="12"/>
        <v>0</v>
      </c>
      <c r="AJ21" s="2">
        <f t="shared" si="12"/>
        <v>0</v>
      </c>
      <c r="AK21" s="2">
        <f t="shared" si="12"/>
        <v>0</v>
      </c>
      <c r="AL21" s="2">
        <f t="shared" si="12"/>
        <v>0</v>
      </c>
      <c r="AM21" s="2">
        <f t="shared" si="12"/>
        <v>0</v>
      </c>
      <c r="AN21" s="2">
        <f t="shared" si="12"/>
        <v>0</v>
      </c>
      <c r="AO21" s="2">
        <f t="shared" si="12"/>
        <v>0</v>
      </c>
      <c r="AP21" s="2">
        <f t="shared" si="12"/>
        <v>0</v>
      </c>
      <c r="AQ21" s="2">
        <f t="shared" si="12"/>
        <v>0</v>
      </c>
      <c r="AR21" s="2">
        <f t="shared" si="12"/>
        <v>0</v>
      </c>
      <c r="AS21" s="2">
        <f t="shared" si="12"/>
        <v>0</v>
      </c>
      <c r="AT21" s="2">
        <f t="shared" si="12"/>
        <v>0</v>
      </c>
      <c r="AU21" s="2">
        <f t="shared" si="12"/>
        <v>0</v>
      </c>
    </row>
    <row r="22" spans="1:48">
      <c r="A22" s="1" t="s">
        <v>44</v>
      </c>
      <c r="B22" s="65">
        <f t="shared" si="2"/>
        <v>1237867.6853645933</v>
      </c>
      <c r="C22" s="78" t="s">
        <v>102</v>
      </c>
      <c r="D22" s="21">
        <f>IF(C22="S",I8,I8)</f>
        <v>1.47E-2</v>
      </c>
      <c r="E22" s="19">
        <v>0</v>
      </c>
      <c r="F22" s="19">
        <v>0</v>
      </c>
      <c r="G22" s="19">
        <v>0</v>
      </c>
      <c r="H22" s="19">
        <f>IF(C22="S",48685,IF(C22="M1",50000,48685))</f>
        <v>48685</v>
      </c>
      <c r="I22" s="2">
        <f>H22*(1+$D$22)</f>
        <v>49400.669499999996</v>
      </c>
      <c r="J22" s="2">
        <f t="shared" ref="J22:T22" si="13">I22*(1+$D$22)</f>
        <v>50126.859341649993</v>
      </c>
      <c r="K22" s="2">
        <f t="shared" si="13"/>
        <v>50863.724173972245</v>
      </c>
      <c r="L22" s="2">
        <f t="shared" si="13"/>
        <v>51611.420919329634</v>
      </c>
      <c r="M22" s="2">
        <f t="shared" si="13"/>
        <v>52370.108806843775</v>
      </c>
      <c r="N22" s="2">
        <f t="shared" si="13"/>
        <v>53139.949406304375</v>
      </c>
      <c r="O22" s="2">
        <f t="shared" si="13"/>
        <v>53921.106662577047</v>
      </c>
      <c r="P22" s="2">
        <f t="shared" si="13"/>
        <v>54713.746930516929</v>
      </c>
      <c r="Q22" s="2">
        <f t="shared" si="13"/>
        <v>55518.039010395521</v>
      </c>
      <c r="R22" s="2">
        <f t="shared" si="13"/>
        <v>56334.154183848332</v>
      </c>
      <c r="S22" s="2">
        <f t="shared" si="13"/>
        <v>57162.266250350898</v>
      </c>
      <c r="T22" s="2">
        <f t="shared" si="13"/>
        <v>58002.551564231049</v>
      </c>
      <c r="U22" s="2">
        <f>T22*(1+$D$22)+IF(C22="S",29493,29493)</f>
        <v>88348.189072225243</v>
      </c>
      <c r="V22" s="2">
        <f t="shared" ref="V22" si="14">U22*(1+$D$22)</f>
        <v>89646.907451586943</v>
      </c>
      <c r="W22" s="2">
        <f t="shared" ref="W22" si="15">V22*(1+$D$22)</f>
        <v>90964.716991125271</v>
      </c>
      <c r="X22" s="2">
        <f t="shared" ref="X22" si="16">W22*(1+$D$22)</f>
        <v>92301.898330894808</v>
      </c>
      <c r="Y22" s="2">
        <f t="shared" ref="Y22" si="17">X22*(1+$D$22)</f>
        <v>93658.736236358949</v>
      </c>
      <c r="Z22" s="2">
        <f t="shared" ref="Z22" si="18">Y22*(1+$D$22)</f>
        <v>95035.519659033424</v>
      </c>
      <c r="AA22" s="2">
        <f t="shared" ref="AA22" si="19">Z22*(1+$D$22)</f>
        <v>96432.541798021208</v>
      </c>
      <c r="AB22" s="2">
        <f t="shared" ref="AB22" si="20">AA22*(1+$D$22)</f>
        <v>97850.100162452116</v>
      </c>
      <c r="AC22" s="2">
        <f t="shared" ref="AC22" si="21">AB22*(1+$D$22)</f>
        <v>99288.49663484015</v>
      </c>
      <c r="AD22" s="2">
        <f t="shared" ref="AD22" si="22">AC22*(1+$D$22)</f>
        <v>100748.03753537229</v>
      </c>
      <c r="AE22" s="2">
        <f t="shared" ref="AE22" si="23">AD22*(1+$D$22)</f>
        <v>102229.03368714226</v>
      </c>
      <c r="AF22" s="2">
        <f t="shared" ref="AF22" si="24">AE22*(1+$D$22)</f>
        <v>103731.80048234324</v>
      </c>
      <c r="AG22" s="2">
        <f t="shared" ref="AG22" si="25">AF22*(1+$D$22)</f>
        <v>105256.65794943368</v>
      </c>
      <c r="AH22" s="2">
        <f t="shared" ref="AH22" si="26">AG22*(1+$D$22)</f>
        <v>106803.93082129034</v>
      </c>
      <c r="AI22" s="2">
        <f t="shared" ref="AI22" si="27">AH22*(1+$D$22)</f>
        <v>108373.94860436331</v>
      </c>
      <c r="AJ22" s="2">
        <f t="shared" ref="AJ22" si="28">AI22*(1+$D$22)</f>
        <v>109967.04564884744</v>
      </c>
      <c r="AK22" s="2">
        <f t="shared" ref="AK22" si="29">AJ22*(1+$D$22)</f>
        <v>111583.56121988549</v>
      </c>
      <c r="AL22" s="2">
        <f t="shared" ref="AL22" si="30">AK22*(1+$D$22)</f>
        <v>113223.83956981781</v>
      </c>
      <c r="AM22" s="2">
        <f t="shared" ref="AM22" si="31">AL22*(1+$D$22)</f>
        <v>114888.23001149412</v>
      </c>
      <c r="AN22" s="2">
        <f t="shared" ref="AN22" si="32">AM22*(1+$D$22)</f>
        <v>116577.08699266307</v>
      </c>
      <c r="AO22" s="2">
        <f t="shared" ref="AO22" si="33">AN22*(1+$D$22)</f>
        <v>118290.77017145521</v>
      </c>
      <c r="AP22" s="2">
        <f t="shared" ref="AP22" si="34">AO22*(1+$D$22)</f>
        <v>120029.6444929756</v>
      </c>
      <c r="AQ22" s="2">
        <f t="shared" ref="AQ22" si="35">AP22*(1+$D$22)</f>
        <v>121794.08026702233</v>
      </c>
      <c r="AR22" s="2">
        <f t="shared" ref="AR22" si="36">AQ22*(1+$D$22)</f>
        <v>123584.45324694755</v>
      </c>
      <c r="AS22" s="2">
        <f t="shared" ref="AS22" si="37">AR22*(1+$D$22)</f>
        <v>125401.14470967767</v>
      </c>
      <c r="AT22" s="2">
        <f t="shared" ref="AT22" si="38">AS22*(1+$D$22)</f>
        <v>127244.54153690992</v>
      </c>
      <c r="AU22" s="2">
        <f t="shared" ref="AU22" si="39">AT22*(1+$D$22)</f>
        <v>129115.03629750249</v>
      </c>
    </row>
    <row r="23" spans="1:48">
      <c r="A23" s="1" t="s">
        <v>65</v>
      </c>
      <c r="B23" s="65">
        <f t="shared" si="2"/>
        <v>0</v>
      </c>
      <c r="C23" s="78" t="s">
        <v>102</v>
      </c>
      <c r="D23" s="21"/>
      <c r="E23" s="19">
        <v>0</v>
      </c>
      <c r="F23" s="19">
        <v>0</v>
      </c>
      <c r="G23" s="19">
        <v>0</v>
      </c>
      <c r="H23" s="19">
        <f t="shared" ref="H23:T23" si="40">IF($C$23="S",H77,IF($C$23="M",0,H77))</f>
        <v>0</v>
      </c>
      <c r="I23" s="19">
        <f t="shared" si="40"/>
        <v>0</v>
      </c>
      <c r="J23" s="19">
        <f t="shared" si="40"/>
        <v>0</v>
      </c>
      <c r="K23" s="19">
        <f t="shared" si="40"/>
        <v>0</v>
      </c>
      <c r="L23" s="19">
        <f t="shared" si="40"/>
        <v>0</v>
      </c>
      <c r="M23" s="19">
        <f t="shared" si="40"/>
        <v>0</v>
      </c>
      <c r="N23" s="19">
        <f t="shared" si="40"/>
        <v>0</v>
      </c>
      <c r="O23" s="19">
        <f t="shared" si="40"/>
        <v>0</v>
      </c>
      <c r="P23" s="19">
        <f t="shared" si="40"/>
        <v>0</v>
      </c>
      <c r="Q23" s="19">
        <f t="shared" si="40"/>
        <v>0</v>
      </c>
      <c r="R23" s="19">
        <f t="shared" si="40"/>
        <v>0</v>
      </c>
      <c r="S23" s="19">
        <f t="shared" si="40"/>
        <v>0</v>
      </c>
      <c r="T23" s="19">
        <f t="shared" si="40"/>
        <v>0</v>
      </c>
      <c r="U23" s="19">
        <f t="shared" ref="U23:AU23" si="41">IF($C$23="S",U77,0)</f>
        <v>0</v>
      </c>
      <c r="V23" s="19">
        <f t="shared" si="41"/>
        <v>0</v>
      </c>
      <c r="W23" s="19">
        <f t="shared" si="41"/>
        <v>0</v>
      </c>
      <c r="X23" s="19">
        <f t="shared" si="41"/>
        <v>0</v>
      </c>
      <c r="Y23" s="19">
        <f t="shared" si="41"/>
        <v>0</v>
      </c>
      <c r="Z23" s="19">
        <f t="shared" si="41"/>
        <v>0</v>
      </c>
      <c r="AA23" s="19">
        <f t="shared" si="41"/>
        <v>0</v>
      </c>
      <c r="AB23" s="19">
        <f t="shared" si="41"/>
        <v>0</v>
      </c>
      <c r="AC23" s="19">
        <f t="shared" si="41"/>
        <v>0</v>
      </c>
      <c r="AD23" s="19">
        <f t="shared" si="41"/>
        <v>0</v>
      </c>
      <c r="AE23" s="19">
        <f t="shared" si="41"/>
        <v>0</v>
      </c>
      <c r="AF23" s="19">
        <f t="shared" si="41"/>
        <v>0</v>
      </c>
      <c r="AG23" s="19">
        <f t="shared" si="41"/>
        <v>0</v>
      </c>
      <c r="AH23" s="19">
        <f t="shared" si="41"/>
        <v>0</v>
      </c>
      <c r="AI23" s="19">
        <f t="shared" si="41"/>
        <v>0</v>
      </c>
      <c r="AJ23" s="19">
        <f t="shared" si="41"/>
        <v>0</v>
      </c>
      <c r="AK23" s="19">
        <f t="shared" si="41"/>
        <v>0</v>
      </c>
      <c r="AL23" s="19">
        <f t="shared" si="41"/>
        <v>0</v>
      </c>
      <c r="AM23" s="19">
        <f t="shared" si="41"/>
        <v>0</v>
      </c>
      <c r="AN23" s="19">
        <f t="shared" si="41"/>
        <v>0</v>
      </c>
      <c r="AO23" s="19">
        <f t="shared" si="41"/>
        <v>0</v>
      </c>
      <c r="AP23" s="19">
        <f t="shared" si="41"/>
        <v>0</v>
      </c>
      <c r="AQ23" s="19">
        <f t="shared" si="41"/>
        <v>0</v>
      </c>
      <c r="AR23" s="19">
        <f t="shared" si="41"/>
        <v>0</v>
      </c>
      <c r="AS23" s="19">
        <f t="shared" si="41"/>
        <v>0</v>
      </c>
      <c r="AT23" s="19">
        <f t="shared" si="41"/>
        <v>0</v>
      </c>
      <c r="AU23" s="19">
        <f t="shared" si="41"/>
        <v>0</v>
      </c>
    </row>
    <row r="24" spans="1:48">
      <c r="A24" s="20" t="s">
        <v>26</v>
      </c>
      <c r="B24" s="65">
        <f t="shared" si="2"/>
        <v>-188330.98796675823</v>
      </c>
      <c r="C24" s="17" t="s">
        <v>102</v>
      </c>
      <c r="D24" s="21"/>
      <c r="E24" s="19">
        <v>0</v>
      </c>
      <c r="F24" s="19">
        <v>0</v>
      </c>
      <c r="G24" s="19">
        <v>0</v>
      </c>
      <c r="H24" s="19">
        <f t="shared" ref="H24:AU24" si="42">-0.02*(H25+H26)</f>
        <v>-8746.7434308761294</v>
      </c>
      <c r="I24" s="19">
        <f t="shared" si="42"/>
        <v>-9002.927058233945</v>
      </c>
      <c r="J24" s="19">
        <f t="shared" si="42"/>
        <v>-9265.8646131140304</v>
      </c>
      <c r="K24" s="19">
        <f t="shared" si="42"/>
        <v>-9535.7277956828621</v>
      </c>
      <c r="L24" s="19">
        <f t="shared" si="42"/>
        <v>-9812.6926111942539</v>
      </c>
      <c r="M24" s="19">
        <f t="shared" si="42"/>
        <v>-10096.93947734637</v>
      </c>
      <c r="N24" s="19">
        <f t="shared" si="42"/>
        <v>-10388.653334310187</v>
      </c>
      <c r="O24" s="19">
        <f t="shared" si="42"/>
        <v>-9405.4609065962068</v>
      </c>
      <c r="P24" s="19">
        <f t="shared" si="42"/>
        <v>-9675.8156643490838</v>
      </c>
      <c r="Q24" s="19">
        <f t="shared" si="42"/>
        <v>-9953.2544994739183</v>
      </c>
      <c r="R24" s="19">
        <f t="shared" si="42"/>
        <v>-10237.957095768223</v>
      </c>
      <c r="S24" s="19">
        <f t="shared" si="42"/>
        <v>-10530.10763829011</v>
      </c>
      <c r="T24" s="19">
        <f t="shared" si="42"/>
        <v>-10829.894925567676</v>
      </c>
      <c r="U24" s="19">
        <f t="shared" si="42"/>
        <v>-11137.512484600113</v>
      </c>
      <c r="V24" s="19">
        <f t="shared" si="42"/>
        <v>-10422.374406735198</v>
      </c>
      <c r="W24" s="19">
        <f t="shared" si="42"/>
        <v>-10717.103559332902</v>
      </c>
      <c r="X24" s="19">
        <f t="shared" si="42"/>
        <v>-11019.513491342334</v>
      </c>
      <c r="Y24" s="19">
        <f t="shared" si="42"/>
        <v>-11329.798623531109</v>
      </c>
      <c r="Z24" s="19">
        <f t="shared" si="42"/>
        <v>-11648.158243204072</v>
      </c>
      <c r="AA24" s="19">
        <f t="shared" si="42"/>
        <v>-11974.796625479798</v>
      </c>
      <c r="AB24" s="19">
        <f t="shared" si="42"/>
        <v>-12309.923157583989</v>
      </c>
      <c r="AC24" s="19">
        <f t="shared" si="42"/>
        <v>-12653.752466234886</v>
      </c>
      <c r="AD24" s="19">
        <f t="shared" si="42"/>
        <v>-13006.50454819737</v>
      </c>
      <c r="AE24" s="19">
        <f t="shared" si="42"/>
        <v>-13368.404904084719</v>
      </c>
      <c r="AF24" s="19">
        <f t="shared" si="42"/>
        <v>-13739.684675488585</v>
      </c>
      <c r="AG24" s="19">
        <f t="shared" si="42"/>
        <v>-14120.580785520044</v>
      </c>
      <c r="AH24" s="19">
        <f t="shared" si="42"/>
        <v>-14511.336082846448</v>
      </c>
      <c r="AI24" s="19">
        <f t="shared" si="42"/>
        <v>-14912.199489311006</v>
      </c>
      <c r="AJ24" s="19">
        <f t="shared" si="42"/>
        <v>-15323.426151224134</v>
      </c>
      <c r="AK24" s="19">
        <f t="shared" si="42"/>
        <v>-15745.277594417832</v>
      </c>
      <c r="AL24" s="19">
        <f t="shared" si="42"/>
        <v>-16178.021883156714</v>
      </c>
      <c r="AM24" s="19">
        <f t="shared" si="42"/>
        <v>-16621.933783001394</v>
      </c>
      <c r="AN24" s="19">
        <f t="shared" si="42"/>
        <v>-17077.294927722647</v>
      </c>
      <c r="AO24" s="19">
        <f t="shared" si="42"/>
        <v>-17544.393990366949</v>
      </c>
      <c r="AP24" s="19">
        <f t="shared" si="42"/>
        <v>-18023.526858576522</v>
      </c>
      <c r="AQ24" s="19">
        <f t="shared" si="42"/>
        <v>-18514.996814269802</v>
      </c>
      <c r="AR24" s="19">
        <f t="shared" si="42"/>
        <v>-19019.114717790577</v>
      </c>
      <c r="AS24" s="19">
        <f t="shared" si="42"/>
        <v>-19536.199196636906</v>
      </c>
      <c r="AT24" s="19">
        <f t="shared" si="42"/>
        <v>-20066.576838883655</v>
      </c>
      <c r="AU24" s="19">
        <f t="shared" si="42"/>
        <v>-20610.582391415392</v>
      </c>
    </row>
    <row r="25" spans="1:48">
      <c r="A25" s="38" t="s">
        <v>59</v>
      </c>
      <c r="B25" s="65">
        <f t="shared" si="2"/>
        <v>-2133696.3651549905</v>
      </c>
      <c r="C25" s="17" t="s">
        <v>102</v>
      </c>
      <c r="D25" s="21"/>
      <c r="E25" s="19">
        <v>0</v>
      </c>
      <c r="F25" s="19">
        <v>0</v>
      </c>
      <c r="G25" s="19">
        <v>0</v>
      </c>
      <c r="H25" s="19">
        <f>IF(H4&lt;=$G$2,IF($C$25="S",-136114*(1-H27)*(1-H28),-H66*(1-H93)*(1-H94)),0)</f>
        <v>-130845.60291924028</v>
      </c>
      <c r="I25" s="19">
        <f t="shared" ref="I25:T25" si="43">IF(I4&lt;=$G$2,IF($C$25="S",H25*(1+I7)*(1-I27)*(1-I28),-I66*(1-I93)*(1-I94)),0)</f>
        <v>-132154.05894843268</v>
      </c>
      <c r="J25" s="19">
        <f t="shared" si="43"/>
        <v>-133475.59953791701</v>
      </c>
      <c r="K25" s="19">
        <f t="shared" si="43"/>
        <v>-134810.35553329618</v>
      </c>
      <c r="L25" s="19">
        <f t="shared" si="43"/>
        <v>-136158.45908862914</v>
      </c>
      <c r="M25" s="19">
        <f t="shared" si="43"/>
        <v>-137520.04367951545</v>
      </c>
      <c r="N25" s="19">
        <f t="shared" si="43"/>
        <v>-138895.24411631061</v>
      </c>
      <c r="O25" s="19">
        <f t="shared" si="43"/>
        <v>-123450.09297057686</v>
      </c>
      <c r="P25" s="19">
        <f t="shared" si="43"/>
        <v>-124684.59390028263</v>
      </c>
      <c r="Q25" s="19">
        <f t="shared" si="43"/>
        <v>-125931.43983928545</v>
      </c>
      <c r="R25" s="19">
        <f t="shared" si="43"/>
        <v>-127190.75423767831</v>
      </c>
      <c r="S25" s="19">
        <f t="shared" si="43"/>
        <v>-128462.66178005509</v>
      </c>
      <c r="T25" s="19">
        <f t="shared" si="43"/>
        <v>-129747.28839785565</v>
      </c>
      <c r="U25" s="19">
        <f t="shared" ref="U25:AU25" si="44">IF(U4&lt;=$G$2,IF($C$25="S",T25*(1+U7)*(1-U27)*(1-U28),IF($C$29="M",-U73,-U66)*(1-U93)*(1-U94)),0)</f>
        <v>-131044.7612818342</v>
      </c>
      <c r="V25" s="19">
        <f t="shared" si="44"/>
        <v>-120443.24009413383</v>
      </c>
      <c r="W25" s="19">
        <f t="shared" si="44"/>
        <v>-121647.67249507515</v>
      </c>
      <c r="X25" s="19">
        <f t="shared" si="44"/>
        <v>-122864.14922002591</v>
      </c>
      <c r="Y25" s="19">
        <f t="shared" si="44"/>
        <v>-124092.79071222617</v>
      </c>
      <c r="Z25" s="19">
        <f t="shared" si="44"/>
        <v>-125333.71861934844</v>
      </c>
      <c r="AA25" s="19">
        <f t="shared" si="44"/>
        <v>-126587.05580554192</v>
      </c>
      <c r="AB25" s="19">
        <f t="shared" si="44"/>
        <v>-127852.92636359732</v>
      </c>
      <c r="AC25" s="19">
        <f t="shared" si="44"/>
        <v>-129131.4556272333</v>
      </c>
      <c r="AD25" s="19">
        <f t="shared" si="44"/>
        <v>-130422.77018350565</v>
      </c>
      <c r="AE25" s="19">
        <f t="shared" si="44"/>
        <v>-131726.99788534071</v>
      </c>
      <c r="AF25" s="19">
        <f t="shared" si="44"/>
        <v>-133044.26786419409</v>
      </c>
      <c r="AG25" s="19">
        <f t="shared" si="44"/>
        <v>-134374.71054283605</v>
      </c>
      <c r="AH25" s="19">
        <f t="shared" si="44"/>
        <v>-135718.45764826439</v>
      </c>
      <c r="AI25" s="19">
        <f t="shared" si="44"/>
        <v>-137075.64222474708</v>
      </c>
      <c r="AJ25" s="19">
        <f t="shared" si="44"/>
        <v>-138446.39864699452</v>
      </c>
      <c r="AK25" s="19">
        <f t="shared" si="44"/>
        <v>-139830.86263346448</v>
      </c>
      <c r="AL25" s="19">
        <f t="shared" si="44"/>
        <v>-141229.1712597991</v>
      </c>
      <c r="AM25" s="19">
        <f t="shared" si="44"/>
        <v>-142641.4629723971</v>
      </c>
      <c r="AN25" s="19">
        <f t="shared" si="44"/>
        <v>-144067.87760212109</v>
      </c>
      <c r="AO25" s="19">
        <f t="shared" si="44"/>
        <v>-145508.5563781423</v>
      </c>
      <c r="AP25" s="19">
        <f t="shared" si="44"/>
        <v>-146963.64194192371</v>
      </c>
      <c r="AQ25" s="19">
        <f t="shared" si="44"/>
        <v>-148433.27836134296</v>
      </c>
      <c r="AR25" s="19">
        <f t="shared" si="44"/>
        <v>-149917.61114495638</v>
      </c>
      <c r="AS25" s="19">
        <f t="shared" si="44"/>
        <v>-151416.78725640592</v>
      </c>
      <c r="AT25" s="19">
        <f t="shared" si="44"/>
        <v>-152930.95512897</v>
      </c>
      <c r="AU25" s="19">
        <f t="shared" si="44"/>
        <v>-154460.26468025969</v>
      </c>
    </row>
    <row r="26" spans="1:48">
      <c r="A26" s="38" t="s">
        <v>64</v>
      </c>
      <c r="B26" s="65">
        <f t="shared" si="2"/>
        <v>11550245.763492905</v>
      </c>
      <c r="C26" s="17" t="s">
        <v>102</v>
      </c>
      <c r="D26" s="21"/>
      <c r="E26" s="19">
        <v>0</v>
      </c>
      <c r="F26" s="19">
        <v>0</v>
      </c>
      <c r="G26" s="19">
        <v>0</v>
      </c>
      <c r="H26" s="19">
        <f>IF($C$26="S",630885*(1-H27)*(1-H28),H97*(1-H93)*(1-H94))</f>
        <v>568182.77446304669</v>
      </c>
      <c r="I26" s="19">
        <f t="shared" ref="I26:AU26" si="45">IF($C$26="S",H26*(1+I7)*(1+I8)*(1-I27)*(1-I28),I97*(1-I93)*(1-I94))</f>
        <v>582300.41186012991</v>
      </c>
      <c r="J26" s="19">
        <f t="shared" si="45"/>
        <v>596768.83019361855</v>
      </c>
      <c r="K26" s="19">
        <f t="shared" si="45"/>
        <v>611596.74531743932</v>
      </c>
      <c r="L26" s="19">
        <f t="shared" si="45"/>
        <v>626793.08964834176</v>
      </c>
      <c r="M26" s="19">
        <f t="shared" si="45"/>
        <v>642367.01754683396</v>
      </c>
      <c r="N26" s="19">
        <f t="shared" si="45"/>
        <v>658327.91083181999</v>
      </c>
      <c r="O26" s="19">
        <f t="shared" si="45"/>
        <v>593723.13830038719</v>
      </c>
      <c r="P26" s="19">
        <f t="shared" si="45"/>
        <v>608475.37711773685</v>
      </c>
      <c r="Q26" s="19">
        <f t="shared" si="45"/>
        <v>623594.16481298138</v>
      </c>
      <c r="R26" s="19">
        <f t="shared" si="45"/>
        <v>639088.60902608943</v>
      </c>
      <c r="S26" s="19">
        <f t="shared" si="45"/>
        <v>654968.04369456065</v>
      </c>
      <c r="T26" s="19">
        <f t="shared" si="45"/>
        <v>671242.03467623936</v>
      </c>
      <c r="U26" s="19">
        <f t="shared" si="45"/>
        <v>687920.38551183988</v>
      </c>
      <c r="V26" s="19">
        <f t="shared" si="45"/>
        <v>641561.9604308937</v>
      </c>
      <c r="W26" s="19">
        <f t="shared" si="45"/>
        <v>657502.85046172026</v>
      </c>
      <c r="X26" s="19">
        <f t="shared" si="45"/>
        <v>673839.82378714252</v>
      </c>
      <c r="Y26" s="19">
        <f t="shared" si="45"/>
        <v>690582.72188878164</v>
      </c>
      <c r="Z26" s="19">
        <f t="shared" si="45"/>
        <v>707741.63077955204</v>
      </c>
      <c r="AA26" s="19">
        <f t="shared" si="45"/>
        <v>725326.88707953179</v>
      </c>
      <c r="AB26" s="19">
        <f t="shared" si="45"/>
        <v>743349.08424279676</v>
      </c>
      <c r="AC26" s="19">
        <f t="shared" si="45"/>
        <v>761819.07893897756</v>
      </c>
      <c r="AD26" s="19">
        <f t="shared" si="45"/>
        <v>780747.99759337411</v>
      </c>
      <c r="AE26" s="19">
        <f t="shared" si="45"/>
        <v>800147.2430895766</v>
      </c>
      <c r="AF26" s="19">
        <f t="shared" si="45"/>
        <v>820028.5016386233</v>
      </c>
      <c r="AG26" s="19">
        <f t="shared" si="45"/>
        <v>840403.7498188382</v>
      </c>
      <c r="AH26" s="19">
        <f t="shared" si="45"/>
        <v>861285.26179058675</v>
      </c>
      <c r="AI26" s="19">
        <f t="shared" si="45"/>
        <v>882685.61669029738</v>
      </c>
      <c r="AJ26" s="19">
        <f t="shared" si="45"/>
        <v>904617.70620820113</v>
      </c>
      <c r="AK26" s="19">
        <f t="shared" si="45"/>
        <v>927094.7423543561</v>
      </c>
      <c r="AL26" s="19">
        <f t="shared" si="45"/>
        <v>950130.26541763486</v>
      </c>
      <c r="AM26" s="19">
        <f t="shared" si="45"/>
        <v>973738.15212246682</v>
      </c>
      <c r="AN26" s="19">
        <f t="shared" si="45"/>
        <v>997932.62398825341</v>
      </c>
      <c r="AO26" s="19">
        <f t="shared" si="45"/>
        <v>1022728.2558964897</v>
      </c>
      <c r="AP26" s="19">
        <f t="shared" si="45"/>
        <v>1048139.9848707498</v>
      </c>
      <c r="AQ26" s="19">
        <f t="shared" si="45"/>
        <v>1074183.1190748331</v>
      </c>
      <c r="AR26" s="19">
        <f t="shared" si="45"/>
        <v>1100873.3470344853</v>
      </c>
      <c r="AS26" s="19">
        <f t="shared" si="45"/>
        <v>1128226.7470882512</v>
      </c>
      <c r="AT26" s="19">
        <f t="shared" si="45"/>
        <v>1156259.7970731526</v>
      </c>
      <c r="AU26" s="19">
        <f t="shared" si="45"/>
        <v>1184989.3842510292</v>
      </c>
      <c r="AV26" s="24"/>
    </row>
    <row r="27" spans="1:48">
      <c r="A27" s="38" t="s">
        <v>61</v>
      </c>
      <c r="B27" s="65"/>
      <c r="C27" s="17" t="s">
        <v>102</v>
      </c>
      <c r="D27" s="16">
        <v>2023</v>
      </c>
      <c r="E27" s="19"/>
      <c r="F27" s="19"/>
      <c r="G27" s="19"/>
      <c r="H27" s="21">
        <f>IF($C27="S",0,IF(H$5=$D27,12%,0))</f>
        <v>0</v>
      </c>
      <c r="I27" s="21">
        <f t="shared" ref="I27:AU27" si="46">IF($C27="S",0,IF(I$5=$D27,12%,0))</f>
        <v>0</v>
      </c>
      <c r="J27" s="21">
        <f t="shared" si="46"/>
        <v>0</v>
      </c>
      <c r="K27" s="21">
        <f t="shared" si="46"/>
        <v>0</v>
      </c>
      <c r="L27" s="21">
        <f t="shared" si="46"/>
        <v>0</v>
      </c>
      <c r="M27" s="21">
        <f t="shared" si="46"/>
        <v>0</v>
      </c>
      <c r="N27" s="21">
        <f t="shared" si="46"/>
        <v>0</v>
      </c>
      <c r="O27" s="21">
        <f t="shared" si="46"/>
        <v>0.12</v>
      </c>
      <c r="P27" s="21">
        <f t="shared" si="46"/>
        <v>0</v>
      </c>
      <c r="Q27" s="21">
        <f t="shared" si="46"/>
        <v>0</v>
      </c>
      <c r="R27" s="21">
        <f t="shared" si="46"/>
        <v>0</v>
      </c>
      <c r="S27" s="21">
        <f t="shared" si="46"/>
        <v>0</v>
      </c>
      <c r="T27" s="21">
        <f t="shared" si="46"/>
        <v>0</v>
      </c>
      <c r="U27" s="21">
        <f t="shared" si="46"/>
        <v>0</v>
      </c>
      <c r="V27" s="21">
        <f t="shared" si="46"/>
        <v>0</v>
      </c>
      <c r="W27" s="21">
        <f t="shared" si="46"/>
        <v>0</v>
      </c>
      <c r="X27" s="21">
        <f t="shared" si="46"/>
        <v>0</v>
      </c>
      <c r="Y27" s="21">
        <f t="shared" si="46"/>
        <v>0</v>
      </c>
      <c r="Z27" s="21">
        <f t="shared" si="46"/>
        <v>0</v>
      </c>
      <c r="AA27" s="21">
        <f t="shared" si="46"/>
        <v>0</v>
      </c>
      <c r="AB27" s="21">
        <f t="shared" si="46"/>
        <v>0</v>
      </c>
      <c r="AC27" s="21">
        <f t="shared" si="46"/>
        <v>0</v>
      </c>
      <c r="AD27" s="21">
        <f t="shared" si="46"/>
        <v>0</v>
      </c>
      <c r="AE27" s="21">
        <f t="shared" si="46"/>
        <v>0</v>
      </c>
      <c r="AF27" s="21">
        <f t="shared" si="46"/>
        <v>0</v>
      </c>
      <c r="AG27" s="21">
        <f t="shared" si="46"/>
        <v>0</v>
      </c>
      <c r="AH27" s="21">
        <f t="shared" si="46"/>
        <v>0</v>
      </c>
      <c r="AI27" s="21">
        <f t="shared" si="46"/>
        <v>0</v>
      </c>
      <c r="AJ27" s="21">
        <f t="shared" si="46"/>
        <v>0</v>
      </c>
      <c r="AK27" s="21">
        <f t="shared" si="46"/>
        <v>0</v>
      </c>
      <c r="AL27" s="21">
        <f t="shared" si="46"/>
        <v>0</v>
      </c>
      <c r="AM27" s="21">
        <f t="shared" si="46"/>
        <v>0</v>
      </c>
      <c r="AN27" s="21">
        <f t="shared" si="46"/>
        <v>0</v>
      </c>
      <c r="AO27" s="21">
        <f t="shared" si="46"/>
        <v>0</v>
      </c>
      <c r="AP27" s="21">
        <f t="shared" si="46"/>
        <v>0</v>
      </c>
      <c r="AQ27" s="21">
        <f t="shared" si="46"/>
        <v>0</v>
      </c>
      <c r="AR27" s="21">
        <f t="shared" si="46"/>
        <v>0</v>
      </c>
      <c r="AS27" s="21">
        <f t="shared" si="46"/>
        <v>0</v>
      </c>
      <c r="AT27" s="21">
        <f t="shared" si="46"/>
        <v>0</v>
      </c>
      <c r="AU27" s="21">
        <f t="shared" si="46"/>
        <v>0</v>
      </c>
      <c r="AV27" s="24"/>
    </row>
    <row r="28" spans="1:48">
      <c r="A28" s="38" t="s">
        <v>62</v>
      </c>
      <c r="B28" s="65"/>
      <c r="C28" s="17" t="s">
        <v>102</v>
      </c>
      <c r="D28" s="16">
        <v>2030</v>
      </c>
      <c r="E28" s="19"/>
      <c r="F28" s="19"/>
      <c r="G28" s="19"/>
      <c r="H28" s="21">
        <f>IF($C28="S",0,IF(H$5=$D28,9%,0))</f>
        <v>0</v>
      </c>
      <c r="I28" s="21">
        <f t="shared" ref="I28:AU28" si="47">IF($C28="S",0,IF(I$5=$D28,9%,0))</f>
        <v>0</v>
      </c>
      <c r="J28" s="21">
        <f t="shared" si="47"/>
        <v>0</v>
      </c>
      <c r="K28" s="21">
        <f t="shared" si="47"/>
        <v>0</v>
      </c>
      <c r="L28" s="21">
        <f t="shared" si="47"/>
        <v>0</v>
      </c>
      <c r="M28" s="21">
        <f t="shared" si="47"/>
        <v>0</v>
      </c>
      <c r="N28" s="21">
        <f t="shared" si="47"/>
        <v>0</v>
      </c>
      <c r="O28" s="21">
        <f t="shared" si="47"/>
        <v>0</v>
      </c>
      <c r="P28" s="21">
        <f t="shared" si="47"/>
        <v>0</v>
      </c>
      <c r="Q28" s="21">
        <f t="shared" si="47"/>
        <v>0</v>
      </c>
      <c r="R28" s="21">
        <f t="shared" si="47"/>
        <v>0</v>
      </c>
      <c r="S28" s="21">
        <f t="shared" si="47"/>
        <v>0</v>
      </c>
      <c r="T28" s="21">
        <f t="shared" si="47"/>
        <v>0</v>
      </c>
      <c r="U28" s="21">
        <f t="shared" si="47"/>
        <v>0</v>
      </c>
      <c r="V28" s="21">
        <f t="shared" si="47"/>
        <v>0.09</v>
      </c>
      <c r="W28" s="21">
        <f t="shared" si="47"/>
        <v>0</v>
      </c>
      <c r="X28" s="21">
        <f t="shared" si="47"/>
        <v>0</v>
      </c>
      <c r="Y28" s="21">
        <f t="shared" si="47"/>
        <v>0</v>
      </c>
      <c r="Z28" s="21">
        <f t="shared" si="47"/>
        <v>0</v>
      </c>
      <c r="AA28" s="21">
        <f t="shared" si="47"/>
        <v>0</v>
      </c>
      <c r="AB28" s="21">
        <f t="shared" si="47"/>
        <v>0</v>
      </c>
      <c r="AC28" s="21">
        <f t="shared" si="47"/>
        <v>0</v>
      </c>
      <c r="AD28" s="21">
        <f t="shared" si="47"/>
        <v>0</v>
      </c>
      <c r="AE28" s="21">
        <f t="shared" si="47"/>
        <v>0</v>
      </c>
      <c r="AF28" s="21">
        <f t="shared" si="47"/>
        <v>0</v>
      </c>
      <c r="AG28" s="21">
        <f t="shared" si="47"/>
        <v>0</v>
      </c>
      <c r="AH28" s="21">
        <f t="shared" si="47"/>
        <v>0</v>
      </c>
      <c r="AI28" s="21">
        <f t="shared" si="47"/>
        <v>0</v>
      </c>
      <c r="AJ28" s="21">
        <f t="shared" si="47"/>
        <v>0</v>
      </c>
      <c r="AK28" s="21">
        <f t="shared" si="47"/>
        <v>0</v>
      </c>
      <c r="AL28" s="21">
        <f t="shared" si="47"/>
        <v>0</v>
      </c>
      <c r="AM28" s="21">
        <f t="shared" si="47"/>
        <v>0</v>
      </c>
      <c r="AN28" s="21">
        <f t="shared" si="47"/>
        <v>0</v>
      </c>
      <c r="AO28" s="21">
        <f t="shared" si="47"/>
        <v>0</v>
      </c>
      <c r="AP28" s="21">
        <f t="shared" si="47"/>
        <v>0</v>
      </c>
      <c r="AQ28" s="21">
        <f t="shared" si="47"/>
        <v>0</v>
      </c>
      <c r="AR28" s="21">
        <f t="shared" si="47"/>
        <v>0</v>
      </c>
      <c r="AS28" s="21">
        <f t="shared" si="47"/>
        <v>0</v>
      </c>
      <c r="AT28" s="21">
        <f t="shared" si="47"/>
        <v>0</v>
      </c>
      <c r="AU28" s="21">
        <f t="shared" si="47"/>
        <v>0</v>
      </c>
      <c r="AV28" s="24"/>
    </row>
    <row r="29" spans="1:48">
      <c r="A29" s="38" t="s">
        <v>63</v>
      </c>
      <c r="B29" s="65"/>
      <c r="C29" s="17" t="s">
        <v>102</v>
      </c>
      <c r="D29" s="16"/>
      <c r="E29" s="19"/>
      <c r="F29" s="19"/>
      <c r="G29" s="19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</row>
    <row r="30" spans="1:48">
      <c r="A30" s="1"/>
      <c r="B30" s="65"/>
      <c r="D30" s="16"/>
      <c r="E30" s="16"/>
      <c r="F30" s="19"/>
      <c r="G30" s="19"/>
      <c r="H30" s="19"/>
      <c r="I30" s="31"/>
      <c r="J30" s="31"/>
      <c r="K30" s="31"/>
      <c r="L30" s="31"/>
      <c r="M30" s="3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8">
      <c r="A31" s="1" t="s">
        <v>6</v>
      </c>
      <c r="B31" s="65">
        <f>SUM(B10:B30)</f>
        <v>-12301566.373835191</v>
      </c>
      <c r="D31" s="16"/>
      <c r="E31" s="19">
        <f>SUM(E10:E26)</f>
        <v>-787668.74999999988</v>
      </c>
      <c r="F31" s="19">
        <f>SUM(F10:F26)</f>
        <v>-3908201.9409394991</v>
      </c>
      <c r="G31" s="19">
        <f>SUM(G10:G26)</f>
        <v>-5903183.296197461</v>
      </c>
      <c r="H31" s="19">
        <f t="shared" ref="H31:AU31" si="48">SUM(H14:H26)</f>
        <v>-352960.16087614628</v>
      </c>
      <c r="I31" s="2">
        <f t="shared" si="48"/>
        <v>-107122.65171722777</v>
      </c>
      <c r="J31" s="2">
        <f t="shared" si="48"/>
        <v>-109445.48411494773</v>
      </c>
      <c r="K31" s="2">
        <f t="shared" si="48"/>
        <v>-111891.45117039513</v>
      </c>
      <c r="L31" s="2">
        <f t="shared" si="48"/>
        <v>-115014.63785143243</v>
      </c>
      <c r="M31" s="2">
        <f t="shared" si="48"/>
        <v>-117488.30384427251</v>
      </c>
      <c r="N31" s="2">
        <f t="shared" si="48"/>
        <v>-120094.80704100919</v>
      </c>
      <c r="O31" s="2">
        <f t="shared" si="48"/>
        <v>-128531.79771378939</v>
      </c>
      <c r="P31" s="2">
        <f t="shared" si="48"/>
        <v>-131521.48453820578</v>
      </c>
      <c r="Q31" s="2">
        <f t="shared" si="48"/>
        <v>-134655.05123428348</v>
      </c>
      <c r="R31" s="2">
        <f t="shared" si="48"/>
        <v>-137938.50244331092</v>
      </c>
      <c r="S31" s="2">
        <f t="shared" si="48"/>
        <v>-141745.74355542008</v>
      </c>
      <c r="T31" s="2">
        <f t="shared" si="48"/>
        <v>-145123.83708109614</v>
      </c>
      <c r="U31" s="2">
        <f t="shared" si="48"/>
        <v>-119182.47915317642</v>
      </c>
      <c r="V31" s="2">
        <f t="shared" si="48"/>
        <v>-128859.62883810315</v>
      </c>
      <c r="W31" s="2">
        <f t="shared" si="48"/>
        <v>-134801.67448319576</v>
      </c>
      <c r="X31" s="2">
        <f t="shared" si="48"/>
        <v>-141023.61485235207</v>
      </c>
      <c r="Y31" s="2">
        <f t="shared" si="48"/>
        <v>-147522.37611652701</v>
      </c>
      <c r="Z31" s="2">
        <f t="shared" si="48"/>
        <v>-154207.79560886102</v>
      </c>
      <c r="AA31" s="2">
        <f t="shared" si="48"/>
        <v>-161106.3078217915</v>
      </c>
      <c r="AB31" s="2">
        <f t="shared" si="48"/>
        <v>-168330.97786046017</v>
      </c>
      <c r="AC31" s="2">
        <f t="shared" si="48"/>
        <v>-175874.21996571019</v>
      </c>
      <c r="AD31" s="2">
        <f t="shared" si="48"/>
        <v>-183670.61434377858</v>
      </c>
      <c r="AE31" s="2">
        <f t="shared" si="48"/>
        <v>-191692.2399531391</v>
      </c>
      <c r="AF31" s="2">
        <f t="shared" si="48"/>
        <v>-200087.33170373528</v>
      </c>
      <c r="AG31" s="2">
        <f t="shared" si="48"/>
        <v>-208846.41049172566</v>
      </c>
      <c r="AH31" s="2">
        <f t="shared" si="48"/>
        <v>-217867.0387587751</v>
      </c>
      <c r="AI31" s="2">
        <f t="shared" si="48"/>
        <v>-227204.96318522259</v>
      </c>
      <c r="AJ31" s="2">
        <f t="shared" si="48"/>
        <v>-236961.72922807466</v>
      </c>
      <c r="AK31" s="2">
        <f t="shared" si="48"/>
        <v>-247132.29014206969</v>
      </c>
      <c r="AL31" s="2">
        <f t="shared" si="48"/>
        <v>-257527.73806126451</v>
      </c>
      <c r="AM31" s="2">
        <f t="shared" si="48"/>
        <v>-268397.10857349541</v>
      </c>
      <c r="AN31" s="2">
        <f t="shared" si="48"/>
        <v>-279730.6668950509</v>
      </c>
      <c r="AO31" s="2">
        <f t="shared" si="48"/>
        <v>-291389.8544311024</v>
      </c>
      <c r="AP31" s="2">
        <f t="shared" si="48"/>
        <v>-303504.04135193699</v>
      </c>
      <c r="AQ31" s="2">
        <f t="shared" si="48"/>
        <v>-316137.09535929887</v>
      </c>
      <c r="AR31" s="2">
        <f t="shared" si="48"/>
        <v>-329165.39549537469</v>
      </c>
      <c r="AS31" s="2">
        <f t="shared" si="48"/>
        <v>-342675.58474076213</v>
      </c>
      <c r="AT31" s="2">
        <f t="shared" si="48"/>
        <v>-356759.99910965166</v>
      </c>
      <c r="AU31" s="2">
        <f t="shared" si="48"/>
        <v>-371278.63291266747</v>
      </c>
    </row>
    <row r="32" spans="1:48">
      <c r="A32" s="1"/>
      <c r="B32" s="1"/>
      <c r="D32" s="16"/>
      <c r="E32" s="16"/>
      <c r="F32" s="19"/>
      <c r="G32" s="19"/>
      <c r="H32" s="19"/>
      <c r="I32" s="2"/>
      <c r="J32" s="2"/>
      <c r="K32" s="2"/>
    </row>
    <row r="33" spans="1:47">
      <c r="A33" s="1" t="s">
        <v>7</v>
      </c>
      <c r="B33" s="41">
        <v>4.4999999999999998E-2</v>
      </c>
      <c r="G33" s="3"/>
      <c r="H33" s="63"/>
      <c r="I33" s="7"/>
      <c r="J33" s="7"/>
      <c r="K33" s="19"/>
      <c r="L33" s="19"/>
      <c r="M33" s="19"/>
      <c r="N33" s="19"/>
      <c r="O33" s="7"/>
      <c r="P33" s="7"/>
      <c r="Q33" s="7"/>
      <c r="R33" s="7"/>
      <c r="S33" s="7"/>
      <c r="T33" s="7"/>
      <c r="U33" s="7"/>
    </row>
    <row r="34" spans="1:47">
      <c r="A34" s="1" t="s">
        <v>8</v>
      </c>
      <c r="B34" s="42">
        <f>NPV(B33,E31:AU31)</f>
        <v>-12301566.373835187</v>
      </c>
      <c r="E34" s="41"/>
      <c r="F34" s="19"/>
      <c r="G34" s="62"/>
      <c r="H34" s="19"/>
      <c r="I34" s="2"/>
      <c r="J34" s="2"/>
      <c r="K34" s="19"/>
      <c r="L34" s="19"/>
      <c r="M34" s="19"/>
      <c r="N34" s="19"/>
    </row>
    <row r="35" spans="1:47">
      <c r="A35" s="5" t="s">
        <v>96</v>
      </c>
      <c r="B35" s="78" t="s">
        <v>101</v>
      </c>
      <c r="D35" s="16"/>
      <c r="E35" s="42"/>
      <c r="F35" s="19"/>
      <c r="G35" s="62"/>
      <c r="H35" s="19"/>
      <c r="I35" s="2"/>
      <c r="J35" s="2"/>
      <c r="K35" s="19"/>
      <c r="L35" s="19"/>
      <c r="M35" s="19"/>
      <c r="N35" s="19"/>
    </row>
    <row r="36" spans="1:47">
      <c r="A36" s="4" t="s">
        <v>20</v>
      </c>
      <c r="B36" s="4"/>
      <c r="C36" s="59"/>
      <c r="E36" s="16"/>
      <c r="F36" s="2"/>
      <c r="G36" s="2"/>
      <c r="H36" s="2"/>
      <c r="I36" s="2"/>
      <c r="J36" s="2"/>
      <c r="K36" s="19"/>
      <c r="L36" s="19"/>
      <c r="M36" s="19"/>
      <c r="N36" s="19"/>
    </row>
    <row r="37" spans="1:47">
      <c r="A37" t="s">
        <v>9</v>
      </c>
      <c r="E37" s="16"/>
      <c r="F37" s="2"/>
      <c r="G37" s="2"/>
      <c r="H37" s="2"/>
      <c r="I37" s="2"/>
      <c r="J37" s="2"/>
      <c r="K37" s="2"/>
    </row>
    <row r="38" spans="1:47">
      <c r="A38" s="5" t="s">
        <v>17</v>
      </c>
      <c r="B38" s="5" t="s">
        <v>97</v>
      </c>
      <c r="C38" s="8" t="s">
        <v>98</v>
      </c>
      <c r="D38" s="7"/>
      <c r="E38" s="2">
        <f>-E10</f>
        <v>261249.99999999997</v>
      </c>
      <c r="F38" s="2">
        <f>-F10+E41</f>
        <v>3982653.3592999992</v>
      </c>
      <c r="G38" s="2">
        <f>-G10+F41</f>
        <v>7931142.1076579979</v>
      </c>
      <c r="H38" s="2">
        <f>G41</f>
        <v>8110804.79963696</v>
      </c>
      <c r="I38" s="2">
        <f>H41</f>
        <v>8035024.3612721907</v>
      </c>
      <c r="J38" s="2">
        <f t="shared" ref="J38:AU38" si="49">I41</f>
        <v>7955833.8031810066</v>
      </c>
      <c r="K38" s="2">
        <f t="shared" si="49"/>
        <v>7873079.6699757194</v>
      </c>
      <c r="L38" s="2">
        <f t="shared" si="49"/>
        <v>7786601.6007761937</v>
      </c>
      <c r="M38" s="2">
        <f t="shared" si="49"/>
        <v>7696232.0184626896</v>
      </c>
      <c r="N38" s="2">
        <f t="shared" si="49"/>
        <v>7601795.8049450777</v>
      </c>
      <c r="O38" s="2">
        <f t="shared" si="49"/>
        <v>7503109.9618191738</v>
      </c>
      <c r="P38" s="2">
        <f t="shared" si="49"/>
        <v>7399983.2557526035</v>
      </c>
      <c r="Q38" s="2">
        <f t="shared" si="49"/>
        <v>7292215.847913038</v>
      </c>
      <c r="R38" s="2">
        <f t="shared" si="49"/>
        <v>7179598.9067206923</v>
      </c>
      <c r="S38" s="2">
        <f t="shared" si="49"/>
        <v>7061914.2031746907</v>
      </c>
      <c r="T38" s="2">
        <f t="shared" si="49"/>
        <v>6938933.6879691193</v>
      </c>
      <c r="U38" s="2">
        <f t="shared" si="49"/>
        <v>6810419.0495792972</v>
      </c>
      <c r="V38" s="2">
        <f t="shared" si="49"/>
        <v>6676121.2524619326</v>
      </c>
      <c r="W38" s="2">
        <f t="shared" si="49"/>
        <v>6535780.0544742867</v>
      </c>
      <c r="X38" s="2">
        <f t="shared" si="49"/>
        <v>6389123.5025771968</v>
      </c>
      <c r="Y38" s="2">
        <f t="shared" si="49"/>
        <v>6235867.4058447378</v>
      </c>
      <c r="Z38" s="2">
        <f t="shared" si="49"/>
        <v>6075714.7847593185</v>
      </c>
      <c r="AA38" s="2">
        <f t="shared" si="49"/>
        <v>5908355.295725055</v>
      </c>
      <c r="AB38" s="2">
        <f t="shared" si="49"/>
        <v>5733464.6296842499</v>
      </c>
      <c r="AC38" s="2">
        <f t="shared" si="49"/>
        <v>5550703.8836716088</v>
      </c>
      <c r="AD38" s="2">
        <f t="shared" si="49"/>
        <v>5359718.9040883984</v>
      </c>
      <c r="AE38" s="2">
        <f t="shared" si="49"/>
        <v>5160139.6004239433</v>
      </c>
      <c r="AF38" s="2">
        <f t="shared" si="49"/>
        <v>4951579.228094588</v>
      </c>
      <c r="AG38" s="2">
        <f t="shared" si="49"/>
        <v>4733633.6390104117</v>
      </c>
      <c r="AH38" s="2">
        <f t="shared" si="49"/>
        <v>4505880.4984174473</v>
      </c>
      <c r="AI38" s="2">
        <f t="shared" si="49"/>
        <v>4267878.4664977994</v>
      </c>
      <c r="AJ38" s="2">
        <f t="shared" si="49"/>
        <v>4019166.3431417677</v>
      </c>
      <c r="AK38" s="2">
        <f t="shared" si="49"/>
        <v>3759262.1742347144</v>
      </c>
      <c r="AL38" s="2">
        <f t="shared" si="49"/>
        <v>3487662.317726844</v>
      </c>
      <c r="AM38" s="2">
        <f t="shared" si="49"/>
        <v>3203840.4676761194</v>
      </c>
      <c r="AN38" s="2">
        <f t="shared" si="49"/>
        <v>2907246.6343731121</v>
      </c>
      <c r="AO38" s="2">
        <f t="shared" si="49"/>
        <v>2597306.0785714695</v>
      </c>
      <c r="AP38" s="2">
        <f t="shared" si="49"/>
        <v>2273418.1977587529</v>
      </c>
      <c r="AQ38" s="2">
        <f t="shared" si="49"/>
        <v>1934955.362309464</v>
      </c>
      <c r="AR38" s="2">
        <f t="shared" si="49"/>
        <v>1581261.6992649571</v>
      </c>
      <c r="AS38" s="2">
        <f t="shared" si="49"/>
        <v>1211651.8213834474</v>
      </c>
      <c r="AT38" s="2">
        <f t="shared" si="49"/>
        <v>825409.4989972699</v>
      </c>
      <c r="AU38" s="2">
        <f t="shared" si="49"/>
        <v>421786.27210371435</v>
      </c>
    </row>
    <row r="39" spans="1:47">
      <c r="A39" s="1" t="s">
        <v>10</v>
      </c>
      <c r="B39" s="73">
        <f>D11</f>
        <v>0.03</v>
      </c>
      <c r="C39" s="8">
        <f>B33</f>
        <v>4.4999999999999998E-2</v>
      </c>
      <c r="E39" s="2">
        <f>E38*$B$39*0.5</f>
        <v>3918.7499999999995</v>
      </c>
      <c r="F39" s="2">
        <f>(E41-F10*0.5)*B39</f>
        <v>63717.331639499978</v>
      </c>
      <c r="G39" s="2">
        <f>(F41-G10*0.5)*B39</f>
        <v>179662.69197896242</v>
      </c>
      <c r="H39" s="2">
        <f t="shared" ref="H39:AU39" si="50">H38*$C$39</f>
        <v>364986.21598366316</v>
      </c>
      <c r="I39" s="2">
        <f t="shared" si="50"/>
        <v>361576.09625724854</v>
      </c>
      <c r="J39" s="2">
        <f t="shared" si="50"/>
        <v>358012.52114314528</v>
      </c>
      <c r="K39" s="2">
        <f t="shared" si="50"/>
        <v>354288.58514890738</v>
      </c>
      <c r="L39" s="2">
        <f t="shared" si="50"/>
        <v>350397.07203492871</v>
      </c>
      <c r="M39" s="2">
        <f t="shared" si="50"/>
        <v>346330.440830821</v>
      </c>
      <c r="N39" s="2">
        <f t="shared" si="50"/>
        <v>342080.81122252851</v>
      </c>
      <c r="O39" s="2">
        <f t="shared" si="50"/>
        <v>337639.94828186283</v>
      </c>
      <c r="P39" s="2">
        <f t="shared" si="50"/>
        <v>332999.24650886713</v>
      </c>
      <c r="Q39" s="2">
        <f t="shared" si="50"/>
        <v>328149.71315608668</v>
      </c>
      <c r="R39" s="2">
        <f t="shared" si="50"/>
        <v>323081.95080243115</v>
      </c>
      <c r="S39" s="2">
        <f t="shared" si="50"/>
        <v>317786.13914286107</v>
      </c>
      <c r="T39" s="2">
        <f t="shared" si="50"/>
        <v>312252.01595861034</v>
      </c>
      <c r="U39" s="2">
        <f t="shared" si="50"/>
        <v>306468.85723106837</v>
      </c>
      <c r="V39" s="2">
        <f t="shared" si="50"/>
        <v>300425.45636078698</v>
      </c>
      <c r="W39" s="2">
        <f t="shared" si="50"/>
        <v>294110.10245134291</v>
      </c>
      <c r="X39" s="2">
        <f t="shared" si="50"/>
        <v>287510.55761597387</v>
      </c>
      <c r="Y39" s="2">
        <f t="shared" si="50"/>
        <v>280614.03326301317</v>
      </c>
      <c r="Z39" s="2">
        <f t="shared" si="50"/>
        <v>273407.16531416931</v>
      </c>
      <c r="AA39" s="2">
        <f t="shared" si="50"/>
        <v>265875.98830762744</v>
      </c>
      <c r="AB39" s="2">
        <f t="shared" si="50"/>
        <v>258005.90833579123</v>
      </c>
      <c r="AC39" s="2">
        <f t="shared" si="50"/>
        <v>249781.67476522239</v>
      </c>
      <c r="AD39" s="2">
        <f t="shared" si="50"/>
        <v>241187.35068397791</v>
      </c>
      <c r="AE39" s="2">
        <f t="shared" si="50"/>
        <v>232206.28201907745</v>
      </c>
      <c r="AF39" s="2">
        <f t="shared" si="50"/>
        <v>222821.06526425647</v>
      </c>
      <c r="AG39" s="2">
        <f t="shared" si="50"/>
        <v>213013.51375546851</v>
      </c>
      <c r="AH39" s="2">
        <f t="shared" si="50"/>
        <v>202764.62242878514</v>
      </c>
      <c r="AI39" s="2">
        <f t="shared" si="50"/>
        <v>192054.53099240098</v>
      </c>
      <c r="AJ39" s="2">
        <f t="shared" si="50"/>
        <v>180862.48544137954</v>
      </c>
      <c r="AK39" s="2">
        <f t="shared" si="50"/>
        <v>169166.79784056215</v>
      </c>
      <c r="AL39" s="2">
        <f t="shared" si="50"/>
        <v>156944.80429770797</v>
      </c>
      <c r="AM39" s="2">
        <f t="shared" si="50"/>
        <v>144172.82104542537</v>
      </c>
      <c r="AN39" s="2">
        <f t="shared" si="50"/>
        <v>130826.09854679005</v>
      </c>
      <c r="AO39" s="2">
        <f t="shared" si="50"/>
        <v>116878.77353571613</v>
      </c>
      <c r="AP39" s="2">
        <f t="shared" si="50"/>
        <v>102303.81889914388</v>
      </c>
      <c r="AQ39" s="2">
        <f t="shared" si="50"/>
        <v>87072.991303925883</v>
      </c>
      <c r="AR39" s="2">
        <f t="shared" si="50"/>
        <v>71156.776466923067</v>
      </c>
      <c r="AS39" s="2">
        <f t="shared" si="50"/>
        <v>54524.331962255128</v>
      </c>
      <c r="AT39" s="2">
        <f t="shared" si="50"/>
        <v>37143.427454877143</v>
      </c>
      <c r="AU39" s="2">
        <f t="shared" si="50"/>
        <v>18980.382244667144</v>
      </c>
    </row>
    <row r="40" spans="1:47">
      <c r="A40" s="1" t="s">
        <v>11</v>
      </c>
      <c r="B40" s="1"/>
      <c r="E40" s="2">
        <v>0</v>
      </c>
      <c r="F40" s="2">
        <v>0</v>
      </c>
      <c r="G40" s="2">
        <v>0</v>
      </c>
      <c r="H40" s="2">
        <f>H42-H39</f>
        <v>75780.438364769507</v>
      </c>
      <c r="I40" s="2">
        <f>I42-I39</f>
        <v>79190.558091184124</v>
      </c>
      <c r="J40" s="2">
        <f t="shared" ref="J40:AU40" si="51">J42-J39</f>
        <v>82754.133205287391</v>
      </c>
      <c r="K40" s="2">
        <f t="shared" si="51"/>
        <v>86478.069199525286</v>
      </c>
      <c r="L40" s="2">
        <f t="shared" si="51"/>
        <v>90369.582313503954</v>
      </c>
      <c r="M40" s="2">
        <f t="shared" si="51"/>
        <v>94436.213517611672</v>
      </c>
      <c r="N40" s="2">
        <f t="shared" si="51"/>
        <v>98685.843125904154</v>
      </c>
      <c r="O40" s="2">
        <f t="shared" si="51"/>
        <v>103126.70606656984</v>
      </c>
      <c r="P40" s="2">
        <f t="shared" si="51"/>
        <v>107767.40783956554</v>
      </c>
      <c r="Q40" s="2">
        <f t="shared" si="51"/>
        <v>112616.94119234598</v>
      </c>
      <c r="R40" s="2">
        <f t="shared" si="51"/>
        <v>117684.70354600152</v>
      </c>
      <c r="S40" s="2">
        <f t="shared" si="51"/>
        <v>122980.5152055716</v>
      </c>
      <c r="T40" s="2">
        <f t="shared" si="51"/>
        <v>128514.63838982233</v>
      </c>
      <c r="U40" s="2">
        <f t="shared" si="51"/>
        <v>134297.7971173643</v>
      </c>
      <c r="V40" s="2">
        <f t="shared" si="51"/>
        <v>140341.19798764569</v>
      </c>
      <c r="W40" s="2">
        <f t="shared" si="51"/>
        <v>146656.55189708975</v>
      </c>
      <c r="X40" s="2">
        <f t="shared" si="51"/>
        <v>153256.0967324588</v>
      </c>
      <c r="Y40" s="2">
        <f t="shared" si="51"/>
        <v>160152.62108541949</v>
      </c>
      <c r="Z40" s="2">
        <f t="shared" si="51"/>
        <v>167359.48903426336</v>
      </c>
      <c r="AA40" s="2">
        <f t="shared" si="51"/>
        <v>174890.66604080523</v>
      </c>
      <c r="AB40" s="2">
        <f t="shared" si="51"/>
        <v>182760.74601264144</v>
      </c>
      <c r="AC40" s="2">
        <f t="shared" si="51"/>
        <v>190984.97958321028</v>
      </c>
      <c r="AD40" s="2">
        <f t="shared" si="51"/>
        <v>199579.30366445475</v>
      </c>
      <c r="AE40" s="2">
        <f t="shared" si="51"/>
        <v>208560.37232935522</v>
      </c>
      <c r="AF40" s="2">
        <f t="shared" si="51"/>
        <v>217945.5890841762</v>
      </c>
      <c r="AG40" s="2">
        <f t="shared" si="51"/>
        <v>227753.14059296416</v>
      </c>
      <c r="AH40" s="2">
        <f t="shared" si="51"/>
        <v>238002.03191964753</v>
      </c>
      <c r="AI40" s="2">
        <f t="shared" si="51"/>
        <v>248712.12335603169</v>
      </c>
      <c r="AJ40" s="2">
        <f t="shared" si="51"/>
        <v>259904.16890705313</v>
      </c>
      <c r="AK40" s="2">
        <f t="shared" si="51"/>
        <v>271599.85650787049</v>
      </c>
      <c r="AL40" s="2">
        <f t="shared" si="51"/>
        <v>283821.85005072469</v>
      </c>
      <c r="AM40" s="2">
        <f t="shared" si="51"/>
        <v>296593.8333030073</v>
      </c>
      <c r="AN40" s="2">
        <f t="shared" si="51"/>
        <v>309940.55580164259</v>
      </c>
      <c r="AO40" s="2">
        <f t="shared" si="51"/>
        <v>323887.88081271655</v>
      </c>
      <c r="AP40" s="2">
        <f t="shared" si="51"/>
        <v>338462.83544928877</v>
      </c>
      <c r="AQ40" s="2">
        <f t="shared" si="51"/>
        <v>353693.6630445068</v>
      </c>
      <c r="AR40" s="2">
        <f t="shared" si="51"/>
        <v>369609.8778815096</v>
      </c>
      <c r="AS40" s="2">
        <f t="shared" si="51"/>
        <v>386242.32238617755</v>
      </c>
      <c r="AT40" s="2">
        <f t="shared" si="51"/>
        <v>403623.22689355555</v>
      </c>
      <c r="AU40" s="2">
        <f t="shared" si="51"/>
        <v>421786.27210376551</v>
      </c>
    </row>
    <row r="41" spans="1:47">
      <c r="A41" s="1" t="s">
        <v>12</v>
      </c>
      <c r="B41" s="1"/>
      <c r="E41" s="2">
        <f>E38+E39</f>
        <v>265168.74999999994</v>
      </c>
      <c r="F41" s="2">
        <f>F38+F39</f>
        <v>4046370.6909394991</v>
      </c>
      <c r="G41" s="2">
        <f>G38+G39</f>
        <v>8110804.79963696</v>
      </c>
      <c r="H41" s="2">
        <f>H38-H40</f>
        <v>8035024.3612721907</v>
      </c>
      <c r="I41" s="2">
        <f>I38-I40</f>
        <v>7955833.8031810066</v>
      </c>
      <c r="J41" s="2">
        <f t="shared" ref="J41:AU41" si="52">J38-J40</f>
        <v>7873079.6699757194</v>
      </c>
      <c r="K41" s="2">
        <f t="shared" si="52"/>
        <v>7786601.6007761937</v>
      </c>
      <c r="L41" s="2">
        <f t="shared" si="52"/>
        <v>7696232.0184626896</v>
      </c>
      <c r="M41" s="2">
        <f t="shared" si="52"/>
        <v>7601795.8049450777</v>
      </c>
      <c r="N41" s="2">
        <f t="shared" si="52"/>
        <v>7503109.9618191738</v>
      </c>
      <c r="O41" s="2">
        <f t="shared" si="52"/>
        <v>7399983.2557526035</v>
      </c>
      <c r="P41" s="2">
        <f t="shared" si="52"/>
        <v>7292215.847913038</v>
      </c>
      <c r="Q41" s="2">
        <f t="shared" si="52"/>
        <v>7179598.9067206923</v>
      </c>
      <c r="R41" s="2">
        <f t="shared" si="52"/>
        <v>7061914.2031746907</v>
      </c>
      <c r="S41" s="2">
        <f t="shared" si="52"/>
        <v>6938933.6879691193</v>
      </c>
      <c r="T41" s="2">
        <f t="shared" si="52"/>
        <v>6810419.0495792972</v>
      </c>
      <c r="U41" s="2">
        <f t="shared" si="52"/>
        <v>6676121.2524619326</v>
      </c>
      <c r="V41" s="2">
        <f t="shared" si="52"/>
        <v>6535780.0544742867</v>
      </c>
      <c r="W41" s="2">
        <f t="shared" si="52"/>
        <v>6389123.5025771968</v>
      </c>
      <c r="X41" s="2">
        <f t="shared" si="52"/>
        <v>6235867.4058447378</v>
      </c>
      <c r="Y41" s="2">
        <f t="shared" si="52"/>
        <v>6075714.7847593185</v>
      </c>
      <c r="Z41" s="2">
        <f t="shared" si="52"/>
        <v>5908355.295725055</v>
      </c>
      <c r="AA41" s="2">
        <f t="shared" si="52"/>
        <v>5733464.6296842499</v>
      </c>
      <c r="AB41" s="2">
        <f t="shared" si="52"/>
        <v>5550703.8836716088</v>
      </c>
      <c r="AC41" s="2">
        <f t="shared" si="52"/>
        <v>5359718.9040883984</v>
      </c>
      <c r="AD41" s="2">
        <f t="shared" si="52"/>
        <v>5160139.6004239433</v>
      </c>
      <c r="AE41" s="2">
        <f t="shared" si="52"/>
        <v>4951579.228094588</v>
      </c>
      <c r="AF41" s="2">
        <f t="shared" si="52"/>
        <v>4733633.6390104117</v>
      </c>
      <c r="AG41" s="2">
        <f t="shared" si="52"/>
        <v>4505880.4984174473</v>
      </c>
      <c r="AH41" s="2">
        <f t="shared" si="52"/>
        <v>4267878.4664977994</v>
      </c>
      <c r="AI41" s="2">
        <f t="shared" si="52"/>
        <v>4019166.3431417677</v>
      </c>
      <c r="AJ41" s="2">
        <f t="shared" si="52"/>
        <v>3759262.1742347144</v>
      </c>
      <c r="AK41" s="2">
        <f t="shared" si="52"/>
        <v>3487662.317726844</v>
      </c>
      <c r="AL41" s="2">
        <f t="shared" si="52"/>
        <v>3203840.4676761194</v>
      </c>
      <c r="AM41" s="2">
        <f t="shared" si="52"/>
        <v>2907246.6343731121</v>
      </c>
      <c r="AN41" s="2">
        <f t="shared" si="52"/>
        <v>2597306.0785714695</v>
      </c>
      <c r="AO41" s="2">
        <f t="shared" si="52"/>
        <v>2273418.1977587529</v>
      </c>
      <c r="AP41" s="2">
        <f t="shared" si="52"/>
        <v>1934955.362309464</v>
      </c>
      <c r="AQ41" s="2">
        <f t="shared" si="52"/>
        <v>1581261.6992649571</v>
      </c>
      <c r="AR41" s="2">
        <f t="shared" si="52"/>
        <v>1211651.8213834474</v>
      </c>
      <c r="AS41" s="2">
        <f t="shared" si="52"/>
        <v>825409.4989972699</v>
      </c>
      <c r="AT41" s="2">
        <f t="shared" si="52"/>
        <v>421786.27210371435</v>
      </c>
      <c r="AU41" s="2">
        <f t="shared" si="52"/>
        <v>-5.1164533942937851E-8</v>
      </c>
    </row>
    <row r="42" spans="1:47">
      <c r="A42" s="1" t="s">
        <v>13</v>
      </c>
      <c r="B42" s="1"/>
      <c r="E42" s="2"/>
      <c r="F42" s="2"/>
      <c r="G42" s="2"/>
      <c r="H42" s="2">
        <f>-PMT(C39,40,H38)</f>
        <v>440766.65434843267</v>
      </c>
      <c r="I42" s="2">
        <f>$H$42</f>
        <v>440766.65434843267</v>
      </c>
      <c r="J42" s="2">
        <f t="shared" ref="J42:AU42" si="53">$H$42</f>
        <v>440766.65434843267</v>
      </c>
      <c r="K42" s="2">
        <f t="shared" si="53"/>
        <v>440766.65434843267</v>
      </c>
      <c r="L42" s="2">
        <f t="shared" si="53"/>
        <v>440766.65434843267</v>
      </c>
      <c r="M42" s="2">
        <f t="shared" si="53"/>
        <v>440766.65434843267</v>
      </c>
      <c r="N42" s="2">
        <f t="shared" si="53"/>
        <v>440766.65434843267</v>
      </c>
      <c r="O42" s="2">
        <f t="shared" si="53"/>
        <v>440766.65434843267</v>
      </c>
      <c r="P42" s="2">
        <f t="shared" si="53"/>
        <v>440766.65434843267</v>
      </c>
      <c r="Q42" s="2">
        <f t="shared" si="53"/>
        <v>440766.65434843267</v>
      </c>
      <c r="R42" s="2">
        <f t="shared" si="53"/>
        <v>440766.65434843267</v>
      </c>
      <c r="S42" s="2">
        <f t="shared" si="53"/>
        <v>440766.65434843267</v>
      </c>
      <c r="T42" s="2">
        <f t="shared" si="53"/>
        <v>440766.65434843267</v>
      </c>
      <c r="U42" s="2">
        <f t="shared" si="53"/>
        <v>440766.65434843267</v>
      </c>
      <c r="V42" s="2">
        <f t="shared" si="53"/>
        <v>440766.65434843267</v>
      </c>
      <c r="W42" s="2">
        <f t="shared" si="53"/>
        <v>440766.65434843267</v>
      </c>
      <c r="X42" s="2">
        <f t="shared" si="53"/>
        <v>440766.65434843267</v>
      </c>
      <c r="Y42" s="2">
        <f t="shared" si="53"/>
        <v>440766.65434843267</v>
      </c>
      <c r="Z42" s="2">
        <f t="shared" si="53"/>
        <v>440766.65434843267</v>
      </c>
      <c r="AA42" s="2">
        <f t="shared" si="53"/>
        <v>440766.65434843267</v>
      </c>
      <c r="AB42" s="2">
        <f t="shared" si="53"/>
        <v>440766.65434843267</v>
      </c>
      <c r="AC42" s="2">
        <f t="shared" si="53"/>
        <v>440766.65434843267</v>
      </c>
      <c r="AD42" s="2">
        <f t="shared" si="53"/>
        <v>440766.65434843267</v>
      </c>
      <c r="AE42" s="2">
        <f t="shared" si="53"/>
        <v>440766.65434843267</v>
      </c>
      <c r="AF42" s="2">
        <f t="shared" si="53"/>
        <v>440766.65434843267</v>
      </c>
      <c r="AG42" s="2">
        <f t="shared" si="53"/>
        <v>440766.65434843267</v>
      </c>
      <c r="AH42" s="2">
        <f t="shared" si="53"/>
        <v>440766.65434843267</v>
      </c>
      <c r="AI42" s="2">
        <f t="shared" si="53"/>
        <v>440766.65434843267</v>
      </c>
      <c r="AJ42" s="2">
        <f t="shared" si="53"/>
        <v>440766.65434843267</v>
      </c>
      <c r="AK42" s="2">
        <f t="shared" si="53"/>
        <v>440766.65434843267</v>
      </c>
      <c r="AL42" s="2">
        <f t="shared" si="53"/>
        <v>440766.65434843267</v>
      </c>
      <c r="AM42" s="2">
        <f t="shared" si="53"/>
        <v>440766.65434843267</v>
      </c>
      <c r="AN42" s="2">
        <f t="shared" si="53"/>
        <v>440766.65434843267</v>
      </c>
      <c r="AO42" s="2">
        <f t="shared" si="53"/>
        <v>440766.65434843267</v>
      </c>
      <c r="AP42" s="2">
        <f t="shared" si="53"/>
        <v>440766.65434843267</v>
      </c>
      <c r="AQ42" s="2">
        <f t="shared" si="53"/>
        <v>440766.65434843267</v>
      </c>
      <c r="AR42" s="2">
        <f t="shared" si="53"/>
        <v>440766.65434843267</v>
      </c>
      <c r="AS42" s="2">
        <f t="shared" si="53"/>
        <v>440766.65434843267</v>
      </c>
      <c r="AT42" s="2">
        <f t="shared" si="53"/>
        <v>440766.65434843267</v>
      </c>
      <c r="AU42" s="2">
        <f t="shared" si="53"/>
        <v>440766.65434843267</v>
      </c>
    </row>
    <row r="43" spans="1:47">
      <c r="A43" s="1"/>
      <c r="B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>
      <c r="A44" s="1" t="s">
        <v>53</v>
      </c>
      <c r="B44" s="1"/>
      <c r="E44" s="61"/>
      <c r="F44" s="61"/>
      <c r="G44" s="61"/>
      <c r="H44" s="2">
        <f>H38/40</f>
        <v>202770.11999092399</v>
      </c>
      <c r="I44" s="2">
        <f>H44</f>
        <v>202770.11999092399</v>
      </c>
      <c r="J44" s="2">
        <f t="shared" ref="J44:AU44" si="54">I44</f>
        <v>202770.11999092399</v>
      </c>
      <c r="K44" s="2">
        <f t="shared" si="54"/>
        <v>202770.11999092399</v>
      </c>
      <c r="L44" s="2">
        <f t="shared" si="54"/>
        <v>202770.11999092399</v>
      </c>
      <c r="M44" s="2">
        <f t="shared" si="54"/>
        <v>202770.11999092399</v>
      </c>
      <c r="N44" s="2">
        <f t="shared" si="54"/>
        <v>202770.11999092399</v>
      </c>
      <c r="O44" s="2">
        <f t="shared" si="54"/>
        <v>202770.11999092399</v>
      </c>
      <c r="P44" s="2">
        <f t="shared" si="54"/>
        <v>202770.11999092399</v>
      </c>
      <c r="Q44" s="2">
        <f t="shared" si="54"/>
        <v>202770.11999092399</v>
      </c>
      <c r="R44" s="2">
        <f t="shared" si="54"/>
        <v>202770.11999092399</v>
      </c>
      <c r="S44" s="2">
        <f t="shared" si="54"/>
        <v>202770.11999092399</v>
      </c>
      <c r="T44" s="2">
        <f t="shared" si="54"/>
        <v>202770.11999092399</v>
      </c>
      <c r="U44" s="2">
        <f t="shared" si="54"/>
        <v>202770.11999092399</v>
      </c>
      <c r="V44" s="2">
        <f t="shared" si="54"/>
        <v>202770.11999092399</v>
      </c>
      <c r="W44" s="2">
        <f t="shared" si="54"/>
        <v>202770.11999092399</v>
      </c>
      <c r="X44" s="2">
        <f t="shared" si="54"/>
        <v>202770.11999092399</v>
      </c>
      <c r="Y44" s="2">
        <f t="shared" si="54"/>
        <v>202770.11999092399</v>
      </c>
      <c r="Z44" s="2">
        <f t="shared" si="54"/>
        <v>202770.11999092399</v>
      </c>
      <c r="AA44" s="2">
        <f t="shared" si="54"/>
        <v>202770.11999092399</v>
      </c>
      <c r="AB44" s="2">
        <f t="shared" si="54"/>
        <v>202770.11999092399</v>
      </c>
      <c r="AC44" s="2">
        <f t="shared" si="54"/>
        <v>202770.11999092399</v>
      </c>
      <c r="AD44" s="2">
        <f t="shared" si="54"/>
        <v>202770.11999092399</v>
      </c>
      <c r="AE44" s="2">
        <f t="shared" si="54"/>
        <v>202770.11999092399</v>
      </c>
      <c r="AF44" s="2">
        <f t="shared" si="54"/>
        <v>202770.11999092399</v>
      </c>
      <c r="AG44" s="2">
        <f t="shared" si="54"/>
        <v>202770.11999092399</v>
      </c>
      <c r="AH44" s="2">
        <f t="shared" si="54"/>
        <v>202770.11999092399</v>
      </c>
      <c r="AI44" s="2">
        <f t="shared" si="54"/>
        <v>202770.11999092399</v>
      </c>
      <c r="AJ44" s="2">
        <f t="shared" si="54"/>
        <v>202770.11999092399</v>
      </c>
      <c r="AK44" s="2">
        <f t="shared" si="54"/>
        <v>202770.11999092399</v>
      </c>
      <c r="AL44" s="2">
        <f t="shared" si="54"/>
        <v>202770.11999092399</v>
      </c>
      <c r="AM44" s="2">
        <f t="shared" si="54"/>
        <v>202770.11999092399</v>
      </c>
      <c r="AN44" s="2">
        <f t="shared" si="54"/>
        <v>202770.11999092399</v>
      </c>
      <c r="AO44" s="2">
        <f t="shared" si="54"/>
        <v>202770.11999092399</v>
      </c>
      <c r="AP44" s="2">
        <f t="shared" si="54"/>
        <v>202770.11999092399</v>
      </c>
      <c r="AQ44" s="2">
        <f t="shared" si="54"/>
        <v>202770.11999092399</v>
      </c>
      <c r="AR44" s="2">
        <f t="shared" si="54"/>
        <v>202770.11999092399</v>
      </c>
      <c r="AS44" s="2">
        <f t="shared" si="54"/>
        <v>202770.11999092399</v>
      </c>
      <c r="AT44" s="2">
        <f t="shared" si="54"/>
        <v>202770.11999092399</v>
      </c>
      <c r="AU44" s="2">
        <f t="shared" si="54"/>
        <v>202770.11999092399</v>
      </c>
    </row>
    <row r="45" spans="1:47">
      <c r="F45" s="2"/>
      <c r="G45" s="2"/>
      <c r="H45" s="2"/>
      <c r="I45" s="2"/>
      <c r="J45" s="2"/>
      <c r="K45" s="2"/>
    </row>
    <row r="46" spans="1:47">
      <c r="A46" t="s">
        <v>14</v>
      </c>
      <c r="F46" s="2"/>
      <c r="G46" s="2"/>
      <c r="H46" s="2"/>
      <c r="I46" s="2"/>
      <c r="J46" s="2"/>
      <c r="K46" s="2"/>
    </row>
    <row r="47" spans="1:47">
      <c r="A47" s="1" t="s">
        <v>15</v>
      </c>
      <c r="B47" s="1"/>
      <c r="E47" s="74">
        <f t="shared" ref="E47:G47" si="55">-(E17+E21+E25+E26)</f>
        <v>0</v>
      </c>
      <c r="F47" s="74">
        <f t="shared" si="55"/>
        <v>0</v>
      </c>
      <c r="G47" s="74">
        <f t="shared" si="55"/>
        <v>0</v>
      </c>
      <c r="H47" s="2">
        <f t="shared" ref="H47:AU47" si="56">-(H17+H21+H25+H26)</f>
        <v>-50511.142081157304</v>
      </c>
      <c r="I47" s="2">
        <f t="shared" si="56"/>
        <v>-51712.610249362304</v>
      </c>
      <c r="J47" s="2">
        <f t="shared" si="56"/>
        <v>-52871.185653039487</v>
      </c>
      <c r="K47" s="2">
        <f t="shared" si="56"/>
        <v>-53981.770237769</v>
      </c>
      <c r="L47" s="2">
        <f t="shared" si="56"/>
        <v>-54491.875982614933</v>
      </c>
      <c r="M47" s="2">
        <f t="shared" si="56"/>
        <v>-55729.87381125649</v>
      </c>
      <c r="N47" s="2">
        <f t="shared" si="56"/>
        <v>-56915.070811723592</v>
      </c>
      <c r="O47" s="2">
        <f t="shared" si="56"/>
        <v>-51068.953933451208</v>
      </c>
      <c r="P47" s="2">
        <f t="shared" si="56"/>
        <v>-51999.309546912438</v>
      </c>
      <c r="Q47" s="2">
        <f t="shared" si="56"/>
        <v>-52870.064113106579</v>
      </c>
      <c r="R47" s="2">
        <f t="shared" si="56"/>
        <v>-53676.998324086773</v>
      </c>
      <c r="S47" s="2">
        <f t="shared" si="56"/>
        <v>-54048.029645106639</v>
      </c>
      <c r="T47" s="2">
        <f t="shared" si="56"/>
        <v>-54937.956729079597</v>
      </c>
      <c r="U47" s="2">
        <f t="shared" si="56"/>
        <v>-55745.983717014547</v>
      </c>
      <c r="V47" s="2">
        <f t="shared" si="56"/>
        <v>-49057.760364017566</v>
      </c>
      <c r="W47" s="2">
        <f t="shared" si="56"/>
        <v>-47195.472776923561</v>
      </c>
      <c r="X47" s="2">
        <f t="shared" si="56"/>
        <v>-45143.656213845359</v>
      </c>
      <c r="Y47" s="2">
        <f t="shared" si="56"/>
        <v>-42907.335294510121</v>
      </c>
      <c r="Z47" s="2">
        <f t="shared" si="56"/>
        <v>-40578.664979652036</v>
      </c>
      <c r="AA47" s="2">
        <f t="shared" si="56"/>
        <v>-38133.245450096321</v>
      </c>
      <c r="AB47" s="2">
        <f t="shared" si="56"/>
        <v>-35460.089547989541</v>
      </c>
      <c r="AC47" s="2">
        <f t="shared" si="56"/>
        <v>-32568.905167268589</v>
      </c>
      <c r="AD47" s="2">
        <f t="shared" si="56"/>
        <v>-29527.2793566623</v>
      </c>
      <c r="AE47" s="2">
        <f t="shared" si="56"/>
        <v>-26365.346485171351</v>
      </c>
      <c r="AF47" s="2">
        <f t="shared" si="56"/>
        <v>-22937.132015205687</v>
      </c>
      <c r="AG47" s="2">
        <f t="shared" si="56"/>
        <v>-19254.423460672144</v>
      </c>
      <c r="AH47" s="2">
        <f t="shared" si="56"/>
        <v>-15422.015841418644</v>
      </c>
      <c r="AI47" s="2">
        <f t="shared" si="56"/>
        <v>-11386.570025135647</v>
      </c>
      <c r="AJ47" s="2">
        <f t="shared" si="56"/>
        <v>-7048.9992462206865</v>
      </c>
      <c r="AK47" s="2">
        <f t="shared" si="56"/>
        <v>-2416.861163819558</v>
      </c>
      <c r="AL47" s="2">
        <f t="shared" si="56"/>
        <v>2318.3721179413842</v>
      </c>
      <c r="AM47" s="2">
        <f t="shared" si="56"/>
        <v>7403.1174994044704</v>
      </c>
      <c r="AN47" s="2">
        <f t="shared" si="56"/>
        <v>12824.965911355917</v>
      </c>
      <c r="AO47" s="2">
        <f t="shared" si="56"/>
        <v>18442.627702582395</v>
      </c>
      <c r="AP47" s="2">
        <f t="shared" si="56"/>
        <v>24382.684018535772</v>
      </c>
      <c r="AQ47" s="2">
        <f t="shared" si="56"/>
        <v>30706.154344894923</v>
      </c>
      <c r="AR47" s="2">
        <f t="shared" si="56"/>
        <v>37286.509068031795</v>
      </c>
      <c r="AS47" s="2">
        <f t="shared" si="56"/>
        <v>44207.420798173407</v>
      </c>
      <c r="AT47" s="2">
        <f t="shared" si="56"/>
        <v>51558.192162935855</v>
      </c>
      <c r="AU47" s="2">
        <f t="shared" si="56"/>
        <v>59195.719741117442</v>
      </c>
    </row>
    <row r="48" spans="1:47">
      <c r="A48" s="1" t="s">
        <v>85</v>
      </c>
      <c r="B48" s="1"/>
      <c r="E48" s="2">
        <f t="shared" ref="E48:AU48" si="57">-E12-E13</f>
        <v>522499.99999999994</v>
      </c>
      <c r="F48" s="2">
        <f t="shared" si="57"/>
        <v>125000</v>
      </c>
      <c r="G48" s="2">
        <f t="shared" si="57"/>
        <v>125000</v>
      </c>
      <c r="H48" s="2">
        <f t="shared" si="57"/>
        <v>0</v>
      </c>
      <c r="I48" s="2">
        <f t="shared" si="57"/>
        <v>0</v>
      </c>
      <c r="J48" s="2">
        <f t="shared" si="57"/>
        <v>0</v>
      </c>
      <c r="K48" s="2">
        <f t="shared" si="57"/>
        <v>0</v>
      </c>
      <c r="L48" s="2">
        <f t="shared" si="57"/>
        <v>0</v>
      </c>
      <c r="M48" s="2">
        <f t="shared" si="57"/>
        <v>0</v>
      </c>
      <c r="N48" s="2">
        <f t="shared" si="57"/>
        <v>0</v>
      </c>
      <c r="O48" s="2">
        <f t="shared" si="57"/>
        <v>0</v>
      </c>
      <c r="P48" s="2">
        <f t="shared" si="57"/>
        <v>0</v>
      </c>
      <c r="Q48" s="2">
        <f t="shared" si="57"/>
        <v>0</v>
      </c>
      <c r="R48" s="2">
        <f t="shared" si="57"/>
        <v>0</v>
      </c>
      <c r="S48" s="2">
        <f t="shared" si="57"/>
        <v>0</v>
      </c>
      <c r="T48" s="2">
        <f t="shared" si="57"/>
        <v>0</v>
      </c>
      <c r="U48" s="2">
        <f t="shared" si="57"/>
        <v>0</v>
      </c>
      <c r="V48" s="2">
        <f t="shared" si="57"/>
        <v>0</v>
      </c>
      <c r="W48" s="2">
        <f t="shared" si="57"/>
        <v>0</v>
      </c>
      <c r="X48" s="2">
        <f t="shared" si="57"/>
        <v>0</v>
      </c>
      <c r="Y48" s="2">
        <f t="shared" si="57"/>
        <v>0</v>
      </c>
      <c r="Z48" s="2">
        <f t="shared" si="57"/>
        <v>0</v>
      </c>
      <c r="AA48" s="2">
        <f t="shared" si="57"/>
        <v>0</v>
      </c>
      <c r="AB48" s="2">
        <f t="shared" si="57"/>
        <v>0</v>
      </c>
      <c r="AC48" s="2">
        <f t="shared" si="57"/>
        <v>0</v>
      </c>
      <c r="AD48" s="2">
        <f t="shared" si="57"/>
        <v>0</v>
      </c>
      <c r="AE48" s="2">
        <f t="shared" si="57"/>
        <v>0</v>
      </c>
      <c r="AF48" s="2">
        <f t="shared" si="57"/>
        <v>0</v>
      </c>
      <c r="AG48" s="2">
        <f t="shared" si="57"/>
        <v>0</v>
      </c>
      <c r="AH48" s="2">
        <f t="shared" si="57"/>
        <v>0</v>
      </c>
      <c r="AI48" s="2">
        <f t="shared" si="57"/>
        <v>0</v>
      </c>
      <c r="AJ48" s="2">
        <f t="shared" si="57"/>
        <v>0</v>
      </c>
      <c r="AK48" s="2">
        <f t="shared" si="57"/>
        <v>0</v>
      </c>
      <c r="AL48" s="2">
        <f t="shared" si="57"/>
        <v>0</v>
      </c>
      <c r="AM48" s="2">
        <f t="shared" si="57"/>
        <v>0</v>
      </c>
      <c r="AN48" s="2">
        <f t="shared" si="57"/>
        <v>0</v>
      </c>
      <c r="AO48" s="2">
        <f t="shared" si="57"/>
        <v>0</v>
      </c>
      <c r="AP48" s="2">
        <f t="shared" si="57"/>
        <v>0</v>
      </c>
      <c r="AQ48" s="2">
        <f t="shared" si="57"/>
        <v>0</v>
      </c>
      <c r="AR48" s="2">
        <f t="shared" si="57"/>
        <v>0</v>
      </c>
      <c r="AS48" s="2">
        <f t="shared" si="57"/>
        <v>0</v>
      </c>
      <c r="AT48" s="2">
        <f t="shared" si="57"/>
        <v>0</v>
      </c>
      <c r="AU48" s="2">
        <f t="shared" si="57"/>
        <v>0</v>
      </c>
    </row>
    <row r="49" spans="1:47">
      <c r="A49" s="5" t="s">
        <v>31</v>
      </c>
      <c r="B49" s="5"/>
      <c r="C49" s="48"/>
      <c r="E49" s="74">
        <f t="shared" ref="E49:G49" si="58">-E15</f>
        <v>0</v>
      </c>
      <c r="F49" s="74">
        <f t="shared" si="58"/>
        <v>0</v>
      </c>
      <c r="G49" s="74">
        <f t="shared" si="58"/>
        <v>0</v>
      </c>
      <c r="H49" s="2">
        <f t="shared" ref="H49:AU49" si="59">-H15</f>
        <v>115671.98441033684</v>
      </c>
      <c r="I49" s="2">
        <f t="shared" si="59"/>
        <v>117985.42409854358</v>
      </c>
      <c r="J49" s="2">
        <f t="shared" si="59"/>
        <v>120345.13258051444</v>
      </c>
      <c r="K49" s="2">
        <f t="shared" si="59"/>
        <v>122752.03523212473</v>
      </c>
      <c r="L49" s="2">
        <f t="shared" si="59"/>
        <v>125207.07593676723</v>
      </c>
      <c r="M49" s="2">
        <f t="shared" si="59"/>
        <v>127711.21745550257</v>
      </c>
      <c r="N49" s="2">
        <f t="shared" si="59"/>
        <v>130265.44180461262</v>
      </c>
      <c r="O49" s="2">
        <f t="shared" si="59"/>
        <v>132870.75064070488</v>
      </c>
      <c r="P49" s="2">
        <f t="shared" si="59"/>
        <v>135528.16565351898</v>
      </c>
      <c r="Q49" s="2">
        <f t="shared" si="59"/>
        <v>138238.72896658938</v>
      </c>
      <c r="R49" s="2">
        <f t="shared" si="59"/>
        <v>141003.50354592118</v>
      </c>
      <c r="S49" s="2">
        <f t="shared" si="59"/>
        <v>143823.5736168396</v>
      </c>
      <c r="T49" s="2">
        <f t="shared" si="59"/>
        <v>146700.04508917639</v>
      </c>
      <c r="U49" s="2">
        <f t="shared" si="59"/>
        <v>149634.04599095992</v>
      </c>
      <c r="V49" s="2">
        <f t="shared" si="59"/>
        <v>152626.72691077911</v>
      </c>
      <c r="W49" s="2">
        <f t="shared" si="59"/>
        <v>155679.26144899469</v>
      </c>
      <c r="X49" s="2">
        <f t="shared" si="59"/>
        <v>158792.84667797459</v>
      </c>
      <c r="Y49" s="2">
        <f t="shared" si="59"/>
        <v>161968.70361153409</v>
      </c>
      <c r="Z49" s="2">
        <f t="shared" si="59"/>
        <v>165208.07768376477</v>
      </c>
      <c r="AA49" s="2">
        <f t="shared" si="59"/>
        <v>168512.23923744008</v>
      </c>
      <c r="AB49" s="2">
        <f t="shared" si="59"/>
        <v>171882.48402218887</v>
      </c>
      <c r="AC49" s="2">
        <f t="shared" si="59"/>
        <v>175320.13370263265</v>
      </c>
      <c r="AD49" s="2">
        <f t="shared" si="59"/>
        <v>178826.53637668531</v>
      </c>
      <c r="AE49" s="2">
        <f t="shared" si="59"/>
        <v>182403.06710421902</v>
      </c>
      <c r="AF49" s="2">
        <f t="shared" si="59"/>
        <v>186051.1284463034</v>
      </c>
      <c r="AG49" s="2">
        <f t="shared" si="59"/>
        <v>189772.15101522946</v>
      </c>
      <c r="AH49" s="2">
        <f t="shared" si="59"/>
        <v>193567.59403553407</v>
      </c>
      <c r="AI49" s="2">
        <f t="shared" si="59"/>
        <v>197438.94591624476</v>
      </c>
      <c r="AJ49" s="2">
        <f t="shared" si="59"/>
        <v>201387.72483456967</v>
      </c>
      <c r="AK49" s="2">
        <f t="shared" si="59"/>
        <v>205415.47933126107</v>
      </c>
      <c r="AL49" s="2">
        <f t="shared" si="59"/>
        <v>209523.7889178863</v>
      </c>
      <c r="AM49" s="2">
        <f t="shared" si="59"/>
        <v>213714.26469624403</v>
      </c>
      <c r="AN49" s="2">
        <f t="shared" si="59"/>
        <v>217988.54999016892</v>
      </c>
      <c r="AO49" s="2">
        <f t="shared" si="59"/>
        <v>222348.3209899723</v>
      </c>
      <c r="AP49" s="2">
        <f t="shared" si="59"/>
        <v>226795.28740977176</v>
      </c>
      <c r="AQ49" s="2">
        <f t="shared" si="59"/>
        <v>231331.19315796721</v>
      </c>
      <c r="AR49" s="2">
        <f t="shared" si="59"/>
        <v>235957.81702112657</v>
      </c>
      <c r="AS49" s="2">
        <f t="shared" si="59"/>
        <v>240676.97336154911</v>
      </c>
      <c r="AT49" s="2">
        <f t="shared" si="59"/>
        <v>245490.51282878011</v>
      </c>
      <c r="AU49" s="2">
        <f t="shared" si="59"/>
        <v>250400.32308535572</v>
      </c>
    </row>
    <row r="50" spans="1:47">
      <c r="A50" s="5" t="s">
        <v>36</v>
      </c>
      <c r="B50" s="5"/>
      <c r="C50" s="48"/>
      <c r="E50" s="74">
        <f t="shared" ref="E50:AU50" si="60">-E16</f>
        <v>0</v>
      </c>
      <c r="F50" s="74">
        <f t="shared" si="60"/>
        <v>0</v>
      </c>
      <c r="G50" s="74">
        <f t="shared" si="60"/>
        <v>0</v>
      </c>
      <c r="H50" s="2">
        <f>-H16</f>
        <v>52513.916830583585</v>
      </c>
      <c r="I50" s="74">
        <f t="shared" si="60"/>
        <v>53564.195167195256</v>
      </c>
      <c r="J50" s="74">
        <f t="shared" si="60"/>
        <v>54635.479070539164</v>
      </c>
      <c r="K50" s="74">
        <f t="shared" si="60"/>
        <v>55728.188651949946</v>
      </c>
      <c r="L50" s="74">
        <f t="shared" si="60"/>
        <v>56842.752424988947</v>
      </c>
      <c r="M50" s="74">
        <f t="shared" si="60"/>
        <v>57979.60747348873</v>
      </c>
      <c r="N50" s="74">
        <f t="shared" si="60"/>
        <v>59139.199622958506</v>
      </c>
      <c r="O50" s="74">
        <f t="shared" si="60"/>
        <v>60321.983615417674</v>
      </c>
      <c r="P50" s="74">
        <f t="shared" si="60"/>
        <v>61528.423287726029</v>
      </c>
      <c r="Q50" s="74">
        <f t="shared" si="60"/>
        <v>62758.99175348055</v>
      </c>
      <c r="R50" s="74">
        <f t="shared" si="60"/>
        <v>64014.171588550162</v>
      </c>
      <c r="S50" s="74">
        <f t="shared" si="60"/>
        <v>65294.455020321169</v>
      </c>
      <c r="T50" s="74">
        <f t="shared" si="60"/>
        <v>66600.34412072759</v>
      </c>
      <c r="U50" s="74">
        <f t="shared" si="60"/>
        <v>67932.351003142147</v>
      </c>
      <c r="V50" s="74">
        <f t="shared" si="60"/>
        <v>69290.998023204986</v>
      </c>
      <c r="W50" s="74">
        <f t="shared" si="60"/>
        <v>70676.817983669083</v>
      </c>
      <c r="X50" s="74">
        <f t="shared" si="60"/>
        <v>72090.354343342464</v>
      </c>
      <c r="Y50" s="74">
        <f t="shared" si="60"/>
        <v>73532.161430209308</v>
      </c>
      <c r="Z50" s="74">
        <f t="shared" si="60"/>
        <v>75002.804658813489</v>
      </c>
      <c r="AA50" s="74">
        <f t="shared" si="60"/>
        <v>76502.860751989763</v>
      </c>
      <c r="AB50" s="74">
        <f t="shared" si="60"/>
        <v>78032.917967029556</v>
      </c>
      <c r="AC50" s="74">
        <f t="shared" si="60"/>
        <v>79593.576326370152</v>
      </c>
      <c r="AD50" s="74">
        <f t="shared" si="60"/>
        <v>81185.44785289756</v>
      </c>
      <c r="AE50" s="74">
        <f t="shared" si="60"/>
        <v>82809.156809955515</v>
      </c>
      <c r="AF50" s="74">
        <f t="shared" si="60"/>
        <v>84465.339946154621</v>
      </c>
      <c r="AG50" s="74">
        <f t="shared" si="60"/>
        <v>86154.646745077713</v>
      </c>
      <c r="AH50" s="74">
        <f t="shared" si="60"/>
        <v>87877.739679979262</v>
      </c>
      <c r="AI50" s="74">
        <f t="shared" si="60"/>
        <v>89635.294473578848</v>
      </c>
      <c r="AJ50" s="74">
        <f t="shared" si="60"/>
        <v>91428.000363050422</v>
      </c>
      <c r="AK50" s="74">
        <f t="shared" si="60"/>
        <v>93256.560370311432</v>
      </c>
      <c r="AL50" s="74">
        <f t="shared" si="60"/>
        <v>95121.691577717662</v>
      </c>
      <c r="AM50" s="74">
        <f t="shared" si="60"/>
        <v>97024.125409272019</v>
      </c>
      <c r="AN50" s="74">
        <f t="shared" si="60"/>
        <v>98964.607917457455</v>
      </c>
      <c r="AO50" s="74">
        <f t="shared" si="60"/>
        <v>100943.90007580661</v>
      </c>
      <c r="AP50" s="74">
        <f t="shared" si="60"/>
        <v>102962.77807732274</v>
      </c>
      <c r="AQ50" s="74">
        <f t="shared" si="60"/>
        <v>105022.03363886919</v>
      </c>
      <c r="AR50" s="74">
        <f t="shared" si="60"/>
        <v>107122.47431164658</v>
      </c>
      <c r="AS50" s="74">
        <f t="shared" si="60"/>
        <v>109264.92379787951</v>
      </c>
      <c r="AT50" s="74">
        <f t="shared" si="60"/>
        <v>111450.22227383711</v>
      </c>
      <c r="AU50" s="74">
        <f t="shared" si="60"/>
        <v>113679.22671931385</v>
      </c>
    </row>
    <row r="51" spans="1:47">
      <c r="A51" s="5" t="s">
        <v>99</v>
      </c>
      <c r="B51" s="5"/>
      <c r="C51" s="48"/>
      <c r="E51" s="74">
        <f t="shared" ref="E51:G51" si="61">-E20</f>
        <v>0</v>
      </c>
      <c r="F51" s="74">
        <f t="shared" si="61"/>
        <v>0</v>
      </c>
      <c r="G51" s="74">
        <f t="shared" si="61"/>
        <v>1711749.1874999998</v>
      </c>
      <c r="H51" s="2">
        <f t="shared" ref="H51:AU51" si="62">-H20</f>
        <v>25179.789355507124</v>
      </c>
      <c r="I51" s="2">
        <f t="shared" si="62"/>
        <v>25683.385142617266</v>
      </c>
      <c r="J51" s="2">
        <f t="shared" si="62"/>
        <v>26197.05284546961</v>
      </c>
      <c r="K51" s="2">
        <f t="shared" si="62"/>
        <v>26720.993902379003</v>
      </c>
      <c r="L51" s="2">
        <f t="shared" si="62"/>
        <v>27255.413780426585</v>
      </c>
      <c r="M51" s="2">
        <f t="shared" si="62"/>
        <v>27800.522056035115</v>
      </c>
      <c r="N51" s="2">
        <f t="shared" si="62"/>
        <v>28356.532497155818</v>
      </c>
      <c r="O51" s="2">
        <f t="shared" si="62"/>
        <v>28923.663147098934</v>
      </c>
      <c r="P51" s="2">
        <f t="shared" si="62"/>
        <v>29502.136410040912</v>
      </c>
      <c r="Q51" s="2">
        <f t="shared" si="62"/>
        <v>30092.179138241732</v>
      </c>
      <c r="R51" s="2">
        <f t="shared" si="62"/>
        <v>30694.022721006568</v>
      </c>
      <c r="S51" s="2">
        <f t="shared" si="62"/>
        <v>31307.903175426698</v>
      </c>
      <c r="T51" s="2">
        <f t="shared" si="62"/>
        <v>31934.061238935232</v>
      </c>
      <c r="U51" s="2">
        <f t="shared" si="62"/>
        <v>32572.742463713937</v>
      </c>
      <c r="V51" s="2">
        <f t="shared" si="62"/>
        <v>33224.197312988217</v>
      </c>
      <c r="W51" s="2">
        <f t="shared" si="62"/>
        <v>33888.681259247984</v>
      </c>
      <c r="X51" s="2">
        <f t="shared" si="62"/>
        <v>34566.454884432947</v>
      </c>
      <c r="Y51" s="2">
        <f t="shared" si="62"/>
        <v>35257.783982121604</v>
      </c>
      <c r="Z51" s="2">
        <f t="shared" si="62"/>
        <v>35962.939661764038</v>
      </c>
      <c r="AA51" s="2">
        <f t="shared" si="62"/>
        <v>36682.198454999321</v>
      </c>
      <c r="AB51" s="2">
        <f t="shared" si="62"/>
        <v>37415.842424099312</v>
      </c>
      <c r="AC51" s="2">
        <f t="shared" si="62"/>
        <v>38164.159272581295</v>
      </c>
      <c r="AD51" s="2">
        <f t="shared" si="62"/>
        <v>38927.442458032921</v>
      </c>
      <c r="AE51" s="2">
        <f t="shared" si="62"/>
        <v>39705.991307193581</v>
      </c>
      <c r="AF51" s="2">
        <f t="shared" si="62"/>
        <v>40500.11113333745</v>
      </c>
      <c r="AG51" s="2">
        <f t="shared" si="62"/>
        <v>41310.1133560042</v>
      </c>
      <c r="AH51" s="2">
        <f t="shared" si="62"/>
        <v>42136.315623124283</v>
      </c>
      <c r="AI51" s="2">
        <f t="shared" si="62"/>
        <v>42979.041935586771</v>
      </c>
      <c r="AJ51" s="2">
        <f t="shared" si="62"/>
        <v>43838.622774298507</v>
      </c>
      <c r="AK51" s="2">
        <f t="shared" si="62"/>
        <v>44715.395229784481</v>
      </c>
      <c r="AL51" s="2">
        <f t="shared" si="62"/>
        <v>45609.703134380172</v>
      </c>
      <c r="AM51" s="2">
        <f t="shared" si="62"/>
        <v>46521.897197067774</v>
      </c>
      <c r="AN51" s="2">
        <f t="shared" si="62"/>
        <v>47452.335141009127</v>
      </c>
      <c r="AO51" s="2">
        <f t="shared" si="62"/>
        <v>48401.381843829309</v>
      </c>
      <c r="AP51" s="2">
        <f t="shared" si="62"/>
        <v>49369.409480705894</v>
      </c>
      <c r="AQ51" s="2">
        <f t="shared" si="62"/>
        <v>50356.797670320011</v>
      </c>
      <c r="AR51" s="2">
        <f t="shared" si="62"/>
        <v>51363.933623726414</v>
      </c>
      <c r="AS51" s="2">
        <f t="shared" si="62"/>
        <v>52391.212296200945</v>
      </c>
      <c r="AT51" s="2">
        <f t="shared" si="62"/>
        <v>53439.036542124966</v>
      </c>
      <c r="AU51" s="2">
        <f t="shared" si="62"/>
        <v>54507.81727296747</v>
      </c>
    </row>
    <row r="52" spans="1:47">
      <c r="A52" s="1" t="s">
        <v>44</v>
      </c>
      <c r="B52" s="1"/>
      <c r="E52" s="74">
        <f t="shared" ref="E52:G52" si="63">-E22</f>
        <v>0</v>
      </c>
      <c r="F52" s="74">
        <f t="shared" si="63"/>
        <v>0</v>
      </c>
      <c r="G52" s="74">
        <f t="shared" si="63"/>
        <v>0</v>
      </c>
      <c r="H52" s="2">
        <f t="shared" ref="H52:AU52" si="64">-H22</f>
        <v>-48685</v>
      </c>
      <c r="I52" s="2">
        <f t="shared" si="64"/>
        <v>-49400.669499999996</v>
      </c>
      <c r="J52" s="2">
        <f t="shared" si="64"/>
        <v>-50126.859341649993</v>
      </c>
      <c r="K52" s="2">
        <f t="shared" si="64"/>
        <v>-50863.724173972245</v>
      </c>
      <c r="L52" s="2">
        <f t="shared" si="64"/>
        <v>-51611.420919329634</v>
      </c>
      <c r="M52" s="2">
        <f t="shared" si="64"/>
        <v>-52370.108806843775</v>
      </c>
      <c r="N52" s="2">
        <f t="shared" si="64"/>
        <v>-53139.949406304375</v>
      </c>
      <c r="O52" s="2">
        <f t="shared" si="64"/>
        <v>-53921.106662577047</v>
      </c>
      <c r="P52" s="2">
        <f t="shared" si="64"/>
        <v>-54713.746930516929</v>
      </c>
      <c r="Q52" s="2">
        <f t="shared" si="64"/>
        <v>-55518.039010395521</v>
      </c>
      <c r="R52" s="2">
        <f t="shared" si="64"/>
        <v>-56334.154183848332</v>
      </c>
      <c r="S52" s="2">
        <f t="shared" si="64"/>
        <v>-57162.266250350898</v>
      </c>
      <c r="T52" s="2">
        <f t="shared" si="64"/>
        <v>-58002.551564231049</v>
      </c>
      <c r="U52" s="2">
        <f t="shared" si="64"/>
        <v>-88348.189072225243</v>
      </c>
      <c r="V52" s="2">
        <f t="shared" si="64"/>
        <v>-89646.907451586943</v>
      </c>
      <c r="W52" s="2">
        <f t="shared" si="64"/>
        <v>-90964.716991125271</v>
      </c>
      <c r="X52" s="2">
        <f t="shared" si="64"/>
        <v>-92301.898330894808</v>
      </c>
      <c r="Y52" s="2">
        <f t="shared" si="64"/>
        <v>-93658.736236358949</v>
      </c>
      <c r="Z52" s="2">
        <f t="shared" si="64"/>
        <v>-95035.519659033424</v>
      </c>
      <c r="AA52" s="2">
        <f t="shared" si="64"/>
        <v>-96432.541798021208</v>
      </c>
      <c r="AB52" s="2">
        <f t="shared" si="64"/>
        <v>-97850.100162452116</v>
      </c>
      <c r="AC52" s="2">
        <f t="shared" si="64"/>
        <v>-99288.49663484015</v>
      </c>
      <c r="AD52" s="2">
        <f t="shared" si="64"/>
        <v>-100748.03753537229</v>
      </c>
      <c r="AE52" s="2">
        <f t="shared" si="64"/>
        <v>-102229.03368714226</v>
      </c>
      <c r="AF52" s="2">
        <f t="shared" si="64"/>
        <v>-103731.80048234324</v>
      </c>
      <c r="AG52" s="2">
        <f t="shared" si="64"/>
        <v>-105256.65794943368</v>
      </c>
      <c r="AH52" s="2">
        <f t="shared" si="64"/>
        <v>-106803.93082129034</v>
      </c>
      <c r="AI52" s="2">
        <f t="shared" si="64"/>
        <v>-108373.94860436331</v>
      </c>
      <c r="AJ52" s="2">
        <f t="shared" si="64"/>
        <v>-109967.04564884744</v>
      </c>
      <c r="AK52" s="2">
        <f t="shared" si="64"/>
        <v>-111583.56121988549</v>
      </c>
      <c r="AL52" s="2">
        <f t="shared" si="64"/>
        <v>-113223.83956981781</v>
      </c>
      <c r="AM52" s="2">
        <f t="shared" si="64"/>
        <v>-114888.23001149412</v>
      </c>
      <c r="AN52" s="2">
        <f t="shared" si="64"/>
        <v>-116577.08699266307</v>
      </c>
      <c r="AO52" s="2">
        <f t="shared" si="64"/>
        <v>-118290.77017145521</v>
      </c>
      <c r="AP52" s="2">
        <f t="shared" si="64"/>
        <v>-120029.6444929756</v>
      </c>
      <c r="AQ52" s="2">
        <f t="shared" si="64"/>
        <v>-121794.08026702233</v>
      </c>
      <c r="AR52" s="2">
        <f t="shared" si="64"/>
        <v>-123584.45324694755</v>
      </c>
      <c r="AS52" s="2">
        <f t="shared" si="64"/>
        <v>-125401.14470967767</v>
      </c>
      <c r="AT52" s="2">
        <f t="shared" si="64"/>
        <v>-127244.54153690992</v>
      </c>
      <c r="AU52" s="2">
        <f t="shared" si="64"/>
        <v>-129115.03629750249</v>
      </c>
    </row>
    <row r="53" spans="1:47">
      <c r="A53" s="1" t="s">
        <v>86</v>
      </c>
      <c r="B53" s="1"/>
      <c r="E53" s="74">
        <f t="shared" ref="E53:G53" si="65">-E23</f>
        <v>0</v>
      </c>
      <c r="F53" s="74">
        <f t="shared" si="65"/>
        <v>0</v>
      </c>
      <c r="G53" s="74">
        <f t="shared" si="65"/>
        <v>0</v>
      </c>
      <c r="H53" s="2">
        <f t="shared" ref="H53:AU53" si="66">-H23</f>
        <v>0</v>
      </c>
      <c r="I53" s="2">
        <f t="shared" si="66"/>
        <v>0</v>
      </c>
      <c r="J53" s="2">
        <f t="shared" si="66"/>
        <v>0</v>
      </c>
      <c r="K53" s="2">
        <f t="shared" si="66"/>
        <v>0</v>
      </c>
      <c r="L53" s="2">
        <f t="shared" si="66"/>
        <v>0</v>
      </c>
      <c r="M53" s="2">
        <f t="shared" si="66"/>
        <v>0</v>
      </c>
      <c r="N53" s="2">
        <f t="shared" si="66"/>
        <v>0</v>
      </c>
      <c r="O53" s="2">
        <f t="shared" si="66"/>
        <v>0</v>
      </c>
      <c r="P53" s="2">
        <f t="shared" si="66"/>
        <v>0</v>
      </c>
      <c r="Q53" s="2">
        <f t="shared" si="66"/>
        <v>0</v>
      </c>
      <c r="R53" s="2">
        <f t="shared" si="66"/>
        <v>0</v>
      </c>
      <c r="S53" s="2">
        <f t="shared" si="66"/>
        <v>0</v>
      </c>
      <c r="T53" s="2">
        <f t="shared" si="66"/>
        <v>0</v>
      </c>
      <c r="U53" s="2">
        <f t="shared" si="66"/>
        <v>0</v>
      </c>
      <c r="V53" s="2">
        <f t="shared" si="66"/>
        <v>0</v>
      </c>
      <c r="W53" s="2">
        <f t="shared" si="66"/>
        <v>0</v>
      </c>
      <c r="X53" s="2">
        <f t="shared" si="66"/>
        <v>0</v>
      </c>
      <c r="Y53" s="2">
        <f t="shared" si="66"/>
        <v>0</v>
      </c>
      <c r="Z53" s="2">
        <f t="shared" si="66"/>
        <v>0</v>
      </c>
      <c r="AA53" s="2">
        <f t="shared" si="66"/>
        <v>0</v>
      </c>
      <c r="AB53" s="2">
        <f t="shared" si="66"/>
        <v>0</v>
      </c>
      <c r="AC53" s="2">
        <f t="shared" si="66"/>
        <v>0</v>
      </c>
      <c r="AD53" s="2">
        <f t="shared" si="66"/>
        <v>0</v>
      </c>
      <c r="AE53" s="2">
        <f t="shared" si="66"/>
        <v>0</v>
      </c>
      <c r="AF53" s="2">
        <f t="shared" si="66"/>
        <v>0</v>
      </c>
      <c r="AG53" s="2">
        <f t="shared" si="66"/>
        <v>0</v>
      </c>
      <c r="AH53" s="2">
        <f t="shared" si="66"/>
        <v>0</v>
      </c>
      <c r="AI53" s="2">
        <f t="shared" si="66"/>
        <v>0</v>
      </c>
      <c r="AJ53" s="2">
        <f t="shared" si="66"/>
        <v>0</v>
      </c>
      <c r="AK53" s="2">
        <f t="shared" si="66"/>
        <v>0</v>
      </c>
      <c r="AL53" s="2">
        <f t="shared" si="66"/>
        <v>0</v>
      </c>
      <c r="AM53" s="2">
        <f t="shared" si="66"/>
        <v>0</v>
      </c>
      <c r="AN53" s="2">
        <f t="shared" si="66"/>
        <v>0</v>
      </c>
      <c r="AO53" s="2">
        <f t="shared" si="66"/>
        <v>0</v>
      </c>
      <c r="AP53" s="2">
        <f t="shared" si="66"/>
        <v>0</v>
      </c>
      <c r="AQ53" s="2">
        <f t="shared" si="66"/>
        <v>0</v>
      </c>
      <c r="AR53" s="2">
        <f t="shared" si="66"/>
        <v>0</v>
      </c>
      <c r="AS53" s="2">
        <f t="shared" si="66"/>
        <v>0</v>
      </c>
      <c r="AT53" s="2">
        <f t="shared" si="66"/>
        <v>0</v>
      </c>
      <c r="AU53" s="2">
        <f t="shared" si="66"/>
        <v>0</v>
      </c>
    </row>
    <row r="54" spans="1:47">
      <c r="A54" s="1" t="s">
        <v>16</v>
      </c>
      <c r="B54" s="1"/>
      <c r="E54" s="74">
        <f t="shared" ref="E54:G54" si="67">-E14</f>
        <v>0</v>
      </c>
      <c r="F54" s="74">
        <f t="shared" si="67"/>
        <v>2000</v>
      </c>
      <c r="G54" s="74">
        <f t="shared" si="67"/>
        <v>2000</v>
      </c>
      <c r="H54" s="2">
        <f t="shared" ref="H54:AU54" si="68">-H14</f>
        <v>2000</v>
      </c>
      <c r="I54" s="2">
        <f t="shared" si="68"/>
        <v>2000</v>
      </c>
      <c r="J54" s="2">
        <f t="shared" si="68"/>
        <v>2000</v>
      </c>
      <c r="K54" s="2">
        <f t="shared" si="68"/>
        <v>2000</v>
      </c>
      <c r="L54" s="2">
        <f t="shared" si="68"/>
        <v>2000</v>
      </c>
      <c r="M54" s="2">
        <f t="shared" si="68"/>
        <v>2000</v>
      </c>
      <c r="N54" s="2">
        <f t="shared" si="68"/>
        <v>2000</v>
      </c>
      <c r="O54" s="2">
        <f t="shared" si="68"/>
        <v>2000</v>
      </c>
      <c r="P54" s="2">
        <f t="shared" si="68"/>
        <v>2000</v>
      </c>
      <c r="Q54" s="2">
        <f t="shared" si="68"/>
        <v>2000</v>
      </c>
      <c r="R54" s="2">
        <f t="shared" si="68"/>
        <v>2000</v>
      </c>
      <c r="S54" s="2">
        <f t="shared" si="68"/>
        <v>2000</v>
      </c>
      <c r="T54" s="2">
        <f t="shared" si="68"/>
        <v>2000</v>
      </c>
      <c r="U54" s="2">
        <f t="shared" si="68"/>
        <v>2000</v>
      </c>
      <c r="V54" s="2">
        <f t="shared" si="68"/>
        <v>2000</v>
      </c>
      <c r="W54" s="2">
        <f t="shared" si="68"/>
        <v>2000</v>
      </c>
      <c r="X54" s="2">
        <f t="shared" si="68"/>
        <v>2000</v>
      </c>
      <c r="Y54" s="2">
        <f t="shared" si="68"/>
        <v>2000</v>
      </c>
      <c r="Z54" s="2">
        <f t="shared" si="68"/>
        <v>2000</v>
      </c>
      <c r="AA54" s="2">
        <f t="shared" si="68"/>
        <v>2000</v>
      </c>
      <c r="AB54" s="2">
        <f t="shared" si="68"/>
        <v>2000</v>
      </c>
      <c r="AC54" s="2">
        <f t="shared" si="68"/>
        <v>2000</v>
      </c>
      <c r="AD54" s="2">
        <f t="shared" si="68"/>
        <v>2000</v>
      </c>
      <c r="AE54" s="2">
        <f t="shared" si="68"/>
        <v>2000</v>
      </c>
      <c r="AF54" s="2">
        <f t="shared" si="68"/>
        <v>2000</v>
      </c>
      <c r="AG54" s="2">
        <f t="shared" si="68"/>
        <v>2000</v>
      </c>
      <c r="AH54" s="2">
        <f t="shared" si="68"/>
        <v>2000</v>
      </c>
      <c r="AI54" s="2">
        <f t="shared" si="68"/>
        <v>2000</v>
      </c>
      <c r="AJ54" s="2">
        <f t="shared" si="68"/>
        <v>2000</v>
      </c>
      <c r="AK54" s="2">
        <f t="shared" si="68"/>
        <v>2000</v>
      </c>
      <c r="AL54" s="2">
        <f t="shared" si="68"/>
        <v>2000</v>
      </c>
      <c r="AM54" s="2">
        <f t="shared" si="68"/>
        <v>2000</v>
      </c>
      <c r="AN54" s="2">
        <f t="shared" si="68"/>
        <v>2000</v>
      </c>
      <c r="AO54" s="2">
        <f t="shared" si="68"/>
        <v>2000</v>
      </c>
      <c r="AP54" s="2">
        <f t="shared" si="68"/>
        <v>2000</v>
      </c>
      <c r="AQ54" s="2">
        <f t="shared" si="68"/>
        <v>2000</v>
      </c>
      <c r="AR54" s="2">
        <f t="shared" si="68"/>
        <v>2000</v>
      </c>
      <c r="AS54" s="2">
        <f t="shared" si="68"/>
        <v>2000</v>
      </c>
      <c r="AT54" s="2">
        <f t="shared" si="68"/>
        <v>2000</v>
      </c>
      <c r="AU54" s="2">
        <f t="shared" si="68"/>
        <v>2000</v>
      </c>
    </row>
    <row r="55" spans="1:47">
      <c r="A55" s="1" t="s">
        <v>26</v>
      </c>
      <c r="B55" s="1"/>
      <c r="E55" s="74">
        <f t="shared" ref="E55:G55" si="69">-E24</f>
        <v>0</v>
      </c>
      <c r="F55" s="74">
        <f t="shared" si="69"/>
        <v>0</v>
      </c>
      <c r="G55" s="74">
        <f t="shared" si="69"/>
        <v>0</v>
      </c>
      <c r="H55" s="2">
        <f t="shared" ref="H55:AU55" si="70">-H24</f>
        <v>8746.7434308761294</v>
      </c>
      <c r="I55" s="2">
        <f t="shared" si="70"/>
        <v>9002.927058233945</v>
      </c>
      <c r="J55" s="2">
        <f t="shared" si="70"/>
        <v>9265.8646131140304</v>
      </c>
      <c r="K55" s="2">
        <f t="shared" si="70"/>
        <v>9535.7277956828621</v>
      </c>
      <c r="L55" s="2">
        <f t="shared" si="70"/>
        <v>9812.6926111942539</v>
      </c>
      <c r="M55" s="2">
        <f t="shared" si="70"/>
        <v>10096.93947734637</v>
      </c>
      <c r="N55" s="2">
        <f t="shared" si="70"/>
        <v>10388.653334310187</v>
      </c>
      <c r="O55" s="2">
        <f t="shared" si="70"/>
        <v>9405.4609065962068</v>
      </c>
      <c r="P55" s="2">
        <f t="shared" si="70"/>
        <v>9675.8156643490838</v>
      </c>
      <c r="Q55" s="2">
        <f t="shared" si="70"/>
        <v>9953.2544994739183</v>
      </c>
      <c r="R55" s="2">
        <f t="shared" si="70"/>
        <v>10237.957095768223</v>
      </c>
      <c r="S55" s="2">
        <f t="shared" si="70"/>
        <v>10530.10763829011</v>
      </c>
      <c r="T55" s="2">
        <f t="shared" si="70"/>
        <v>10829.894925567676</v>
      </c>
      <c r="U55" s="2">
        <f t="shared" si="70"/>
        <v>11137.512484600113</v>
      </c>
      <c r="V55" s="2">
        <f t="shared" si="70"/>
        <v>10422.374406735198</v>
      </c>
      <c r="W55" s="2">
        <f t="shared" si="70"/>
        <v>10717.103559332902</v>
      </c>
      <c r="X55" s="2">
        <f t="shared" si="70"/>
        <v>11019.513491342334</v>
      </c>
      <c r="Y55" s="2">
        <f t="shared" si="70"/>
        <v>11329.798623531109</v>
      </c>
      <c r="Z55" s="2">
        <f t="shared" si="70"/>
        <v>11648.158243204072</v>
      </c>
      <c r="AA55" s="2">
        <f t="shared" si="70"/>
        <v>11974.796625479798</v>
      </c>
      <c r="AB55" s="2">
        <f t="shared" si="70"/>
        <v>12309.923157583989</v>
      </c>
      <c r="AC55" s="2">
        <f t="shared" si="70"/>
        <v>12653.752466234886</v>
      </c>
      <c r="AD55" s="2">
        <f t="shared" si="70"/>
        <v>13006.50454819737</v>
      </c>
      <c r="AE55" s="2">
        <f t="shared" si="70"/>
        <v>13368.404904084719</v>
      </c>
      <c r="AF55" s="2">
        <f t="shared" si="70"/>
        <v>13739.684675488585</v>
      </c>
      <c r="AG55" s="2">
        <f t="shared" si="70"/>
        <v>14120.580785520044</v>
      </c>
      <c r="AH55" s="2">
        <f t="shared" si="70"/>
        <v>14511.336082846448</v>
      </c>
      <c r="AI55" s="2">
        <f t="shared" si="70"/>
        <v>14912.199489311006</v>
      </c>
      <c r="AJ55" s="2">
        <f t="shared" si="70"/>
        <v>15323.426151224134</v>
      </c>
      <c r="AK55" s="2">
        <f t="shared" si="70"/>
        <v>15745.277594417832</v>
      </c>
      <c r="AL55" s="2">
        <f t="shared" si="70"/>
        <v>16178.021883156714</v>
      </c>
      <c r="AM55" s="2">
        <f t="shared" si="70"/>
        <v>16621.933783001394</v>
      </c>
      <c r="AN55" s="2">
        <f t="shared" si="70"/>
        <v>17077.294927722647</v>
      </c>
      <c r="AO55" s="2">
        <f t="shared" si="70"/>
        <v>17544.393990366949</v>
      </c>
      <c r="AP55" s="2">
        <f t="shared" si="70"/>
        <v>18023.526858576522</v>
      </c>
      <c r="AQ55" s="2">
        <f t="shared" si="70"/>
        <v>18514.996814269802</v>
      </c>
      <c r="AR55" s="2">
        <f t="shared" si="70"/>
        <v>19019.114717790577</v>
      </c>
      <c r="AS55" s="2">
        <f t="shared" si="70"/>
        <v>19536.199196636906</v>
      </c>
      <c r="AT55" s="2">
        <f t="shared" si="70"/>
        <v>20066.576838883655</v>
      </c>
      <c r="AU55" s="2">
        <f t="shared" si="70"/>
        <v>20610.582391415392</v>
      </c>
    </row>
    <row r="56" spans="1:47">
      <c r="A56" s="1" t="s">
        <v>32</v>
      </c>
      <c r="B56" s="1"/>
      <c r="E56" s="74">
        <f t="shared" ref="E56:G56" si="71">-E19</f>
        <v>0</v>
      </c>
      <c r="F56" s="74">
        <f t="shared" si="71"/>
        <v>0</v>
      </c>
      <c r="G56" s="74">
        <f t="shared" si="71"/>
        <v>0</v>
      </c>
      <c r="H56" s="2">
        <f t="shared" ref="H56:AU56" si="72">-H19</f>
        <v>0</v>
      </c>
      <c r="I56" s="2">
        <f t="shared" si="72"/>
        <v>0</v>
      </c>
      <c r="J56" s="2">
        <f t="shared" si="72"/>
        <v>0</v>
      </c>
      <c r="K56" s="2">
        <f t="shared" si="72"/>
        <v>0</v>
      </c>
      <c r="L56" s="2">
        <f t="shared" si="72"/>
        <v>0</v>
      </c>
      <c r="M56" s="2">
        <f t="shared" si="72"/>
        <v>0</v>
      </c>
      <c r="N56" s="2">
        <f t="shared" si="72"/>
        <v>0</v>
      </c>
      <c r="O56" s="2">
        <f t="shared" si="72"/>
        <v>0</v>
      </c>
      <c r="P56" s="2">
        <f t="shared" si="72"/>
        <v>0</v>
      </c>
      <c r="Q56" s="2">
        <f t="shared" si="72"/>
        <v>0</v>
      </c>
      <c r="R56" s="2">
        <f t="shared" si="72"/>
        <v>0</v>
      </c>
      <c r="S56" s="2">
        <f t="shared" si="72"/>
        <v>0</v>
      </c>
      <c r="T56" s="2">
        <f t="shared" si="72"/>
        <v>0</v>
      </c>
      <c r="U56" s="2">
        <f t="shared" si="72"/>
        <v>0</v>
      </c>
      <c r="V56" s="2">
        <f t="shared" si="72"/>
        <v>0</v>
      </c>
      <c r="W56" s="2">
        <f t="shared" si="72"/>
        <v>0</v>
      </c>
      <c r="X56" s="2">
        <f t="shared" si="72"/>
        <v>0</v>
      </c>
      <c r="Y56" s="2">
        <f t="shared" si="72"/>
        <v>0</v>
      </c>
      <c r="Z56" s="2">
        <f t="shared" si="72"/>
        <v>0</v>
      </c>
      <c r="AA56" s="2">
        <f t="shared" si="72"/>
        <v>0</v>
      </c>
      <c r="AB56" s="2">
        <f t="shared" si="72"/>
        <v>0</v>
      </c>
      <c r="AC56" s="2">
        <f t="shared" si="72"/>
        <v>0</v>
      </c>
      <c r="AD56" s="2">
        <f t="shared" si="72"/>
        <v>0</v>
      </c>
      <c r="AE56" s="2">
        <f t="shared" si="72"/>
        <v>0</v>
      </c>
      <c r="AF56" s="2">
        <f t="shared" si="72"/>
        <v>0</v>
      </c>
      <c r="AG56" s="2">
        <f t="shared" si="72"/>
        <v>0</v>
      </c>
      <c r="AH56" s="2">
        <f t="shared" si="72"/>
        <v>0</v>
      </c>
      <c r="AI56" s="2">
        <f t="shared" si="72"/>
        <v>0</v>
      </c>
      <c r="AJ56" s="2">
        <f t="shared" si="72"/>
        <v>0</v>
      </c>
      <c r="AK56" s="2">
        <f t="shared" si="72"/>
        <v>0</v>
      </c>
      <c r="AL56" s="2">
        <f t="shared" si="72"/>
        <v>0</v>
      </c>
      <c r="AM56" s="2">
        <f t="shared" si="72"/>
        <v>0</v>
      </c>
      <c r="AN56" s="2">
        <f t="shared" si="72"/>
        <v>0</v>
      </c>
      <c r="AO56" s="2">
        <f t="shared" si="72"/>
        <v>0</v>
      </c>
      <c r="AP56" s="2">
        <f t="shared" si="72"/>
        <v>0</v>
      </c>
      <c r="AQ56" s="2">
        <f t="shared" si="72"/>
        <v>0</v>
      </c>
      <c r="AR56" s="2">
        <f t="shared" si="72"/>
        <v>0</v>
      </c>
      <c r="AS56" s="2">
        <f t="shared" si="72"/>
        <v>0</v>
      </c>
      <c r="AT56" s="2">
        <f t="shared" si="72"/>
        <v>0</v>
      </c>
      <c r="AU56" s="2">
        <f t="shared" si="72"/>
        <v>0</v>
      </c>
    </row>
    <row r="57" spans="1:47">
      <c r="A57" s="1" t="s">
        <v>35</v>
      </c>
      <c r="B57" s="1"/>
      <c r="E57" s="74">
        <f t="shared" ref="E57:AU57" si="73">-E18</f>
        <v>0</v>
      </c>
      <c r="F57" s="74">
        <f t="shared" si="73"/>
        <v>0</v>
      </c>
      <c r="G57" s="74">
        <f t="shared" si="73"/>
        <v>0</v>
      </c>
      <c r="H57" s="2">
        <f>-H18</f>
        <v>248043.86892999988</v>
      </c>
      <c r="I57" s="74">
        <f t="shared" si="73"/>
        <v>0</v>
      </c>
      <c r="J57" s="74">
        <f t="shared" si="73"/>
        <v>0</v>
      </c>
      <c r="K57" s="74">
        <f t="shared" si="73"/>
        <v>0</v>
      </c>
      <c r="L57" s="74">
        <f t="shared" si="73"/>
        <v>0</v>
      </c>
      <c r="M57" s="74">
        <f t="shared" si="73"/>
        <v>0</v>
      </c>
      <c r="N57" s="74">
        <f t="shared" si="73"/>
        <v>0</v>
      </c>
      <c r="O57" s="74">
        <f t="shared" si="73"/>
        <v>0</v>
      </c>
      <c r="P57" s="74">
        <f t="shared" si="73"/>
        <v>0</v>
      </c>
      <c r="Q57" s="74">
        <f t="shared" si="73"/>
        <v>0</v>
      </c>
      <c r="R57" s="74">
        <f t="shared" si="73"/>
        <v>0</v>
      </c>
      <c r="S57" s="74">
        <f t="shared" si="73"/>
        <v>0</v>
      </c>
      <c r="T57" s="74">
        <f t="shared" si="73"/>
        <v>0</v>
      </c>
      <c r="U57" s="74">
        <f t="shared" si="73"/>
        <v>0</v>
      </c>
      <c r="V57" s="74">
        <f t="shared" si="73"/>
        <v>0</v>
      </c>
      <c r="W57" s="74">
        <f t="shared" si="73"/>
        <v>0</v>
      </c>
      <c r="X57" s="74">
        <f t="shared" si="73"/>
        <v>0</v>
      </c>
      <c r="Y57" s="74">
        <f t="shared" si="73"/>
        <v>0</v>
      </c>
      <c r="Z57" s="74">
        <f t="shared" si="73"/>
        <v>0</v>
      </c>
      <c r="AA57" s="74">
        <f t="shared" si="73"/>
        <v>0</v>
      </c>
      <c r="AB57" s="74">
        <f t="shared" si="73"/>
        <v>0</v>
      </c>
      <c r="AC57" s="74">
        <f t="shared" si="73"/>
        <v>0</v>
      </c>
      <c r="AD57" s="74">
        <f t="shared" si="73"/>
        <v>0</v>
      </c>
      <c r="AE57" s="74">
        <f t="shared" si="73"/>
        <v>0</v>
      </c>
      <c r="AF57" s="74">
        <f t="shared" si="73"/>
        <v>0</v>
      </c>
      <c r="AG57" s="74">
        <f t="shared" si="73"/>
        <v>0</v>
      </c>
      <c r="AH57" s="74">
        <f t="shared" si="73"/>
        <v>0</v>
      </c>
      <c r="AI57" s="74">
        <f t="shared" si="73"/>
        <v>0</v>
      </c>
      <c r="AJ57" s="74">
        <f t="shared" si="73"/>
        <v>0</v>
      </c>
      <c r="AK57" s="74">
        <f t="shared" si="73"/>
        <v>0</v>
      </c>
      <c r="AL57" s="74">
        <f t="shared" si="73"/>
        <v>0</v>
      </c>
      <c r="AM57" s="74">
        <f t="shared" si="73"/>
        <v>0</v>
      </c>
      <c r="AN57" s="74">
        <f t="shared" si="73"/>
        <v>0</v>
      </c>
      <c r="AO57" s="74">
        <f t="shared" si="73"/>
        <v>0</v>
      </c>
      <c r="AP57" s="74">
        <f t="shared" si="73"/>
        <v>0</v>
      </c>
      <c r="AQ57" s="74">
        <f t="shared" si="73"/>
        <v>0</v>
      </c>
      <c r="AR57" s="74">
        <f t="shared" si="73"/>
        <v>0</v>
      </c>
      <c r="AS57" s="74">
        <f t="shared" si="73"/>
        <v>0</v>
      </c>
      <c r="AT57" s="74">
        <f t="shared" si="73"/>
        <v>0</v>
      </c>
      <c r="AU57" s="74">
        <f t="shared" si="73"/>
        <v>0</v>
      </c>
    </row>
    <row r="58" spans="1:47">
      <c r="A58" s="1" t="s">
        <v>10</v>
      </c>
      <c r="B58" s="1"/>
      <c r="E58" s="2">
        <v>0</v>
      </c>
      <c r="F58" s="2">
        <v>0</v>
      </c>
      <c r="G58" s="2">
        <v>0</v>
      </c>
      <c r="H58" s="2">
        <f t="shared" ref="H58:AU58" si="74">H39</f>
        <v>364986.21598366316</v>
      </c>
      <c r="I58" s="2">
        <f t="shared" si="74"/>
        <v>361576.09625724854</v>
      </c>
      <c r="J58" s="2">
        <f t="shared" si="74"/>
        <v>358012.52114314528</v>
      </c>
      <c r="K58" s="2">
        <f t="shared" si="74"/>
        <v>354288.58514890738</v>
      </c>
      <c r="L58" s="2">
        <f t="shared" si="74"/>
        <v>350397.07203492871</v>
      </c>
      <c r="M58" s="2">
        <f t="shared" si="74"/>
        <v>346330.440830821</v>
      </c>
      <c r="N58" s="2">
        <f t="shared" si="74"/>
        <v>342080.81122252851</v>
      </c>
      <c r="O58" s="2">
        <f t="shared" si="74"/>
        <v>337639.94828186283</v>
      </c>
      <c r="P58" s="2">
        <f t="shared" si="74"/>
        <v>332999.24650886713</v>
      </c>
      <c r="Q58" s="2">
        <f t="shared" si="74"/>
        <v>328149.71315608668</v>
      </c>
      <c r="R58" s="2">
        <f t="shared" si="74"/>
        <v>323081.95080243115</v>
      </c>
      <c r="S58" s="2">
        <f t="shared" si="74"/>
        <v>317786.13914286107</v>
      </c>
      <c r="T58" s="2">
        <f t="shared" si="74"/>
        <v>312252.01595861034</v>
      </c>
      <c r="U58" s="2">
        <f t="shared" si="74"/>
        <v>306468.85723106837</v>
      </c>
      <c r="V58" s="2">
        <f t="shared" si="74"/>
        <v>300425.45636078698</v>
      </c>
      <c r="W58" s="2">
        <f t="shared" si="74"/>
        <v>294110.10245134291</v>
      </c>
      <c r="X58" s="2">
        <f t="shared" si="74"/>
        <v>287510.55761597387</v>
      </c>
      <c r="Y58" s="2">
        <f t="shared" si="74"/>
        <v>280614.03326301317</v>
      </c>
      <c r="Z58" s="2">
        <f t="shared" si="74"/>
        <v>273407.16531416931</v>
      </c>
      <c r="AA58" s="2">
        <f t="shared" si="74"/>
        <v>265875.98830762744</v>
      </c>
      <c r="AB58" s="2">
        <f t="shared" si="74"/>
        <v>258005.90833579123</v>
      </c>
      <c r="AC58" s="2">
        <f t="shared" si="74"/>
        <v>249781.67476522239</v>
      </c>
      <c r="AD58" s="2">
        <f t="shared" si="74"/>
        <v>241187.35068397791</v>
      </c>
      <c r="AE58" s="2">
        <f t="shared" si="74"/>
        <v>232206.28201907745</v>
      </c>
      <c r="AF58" s="2">
        <f t="shared" si="74"/>
        <v>222821.06526425647</v>
      </c>
      <c r="AG58" s="2">
        <f t="shared" si="74"/>
        <v>213013.51375546851</v>
      </c>
      <c r="AH58" s="2">
        <f t="shared" si="74"/>
        <v>202764.62242878514</v>
      </c>
      <c r="AI58" s="2">
        <f t="shared" si="74"/>
        <v>192054.53099240098</v>
      </c>
      <c r="AJ58" s="2">
        <f t="shared" si="74"/>
        <v>180862.48544137954</v>
      </c>
      <c r="AK58" s="2">
        <f t="shared" si="74"/>
        <v>169166.79784056215</v>
      </c>
      <c r="AL58" s="2">
        <f t="shared" si="74"/>
        <v>156944.80429770797</v>
      </c>
      <c r="AM58" s="2">
        <f t="shared" si="74"/>
        <v>144172.82104542537</v>
      </c>
      <c r="AN58" s="2">
        <f t="shared" si="74"/>
        <v>130826.09854679005</v>
      </c>
      <c r="AO58" s="2">
        <f t="shared" si="74"/>
        <v>116878.77353571613</v>
      </c>
      <c r="AP58" s="2">
        <f t="shared" si="74"/>
        <v>102303.81889914388</v>
      </c>
      <c r="AQ58" s="2">
        <f t="shared" si="74"/>
        <v>87072.991303925883</v>
      </c>
      <c r="AR58" s="2">
        <f t="shared" si="74"/>
        <v>71156.776466923067</v>
      </c>
      <c r="AS58" s="2">
        <f t="shared" si="74"/>
        <v>54524.331962255128</v>
      </c>
      <c r="AT58" s="2">
        <f t="shared" si="74"/>
        <v>37143.427454877143</v>
      </c>
      <c r="AU58" s="2">
        <f t="shared" si="74"/>
        <v>18980.382244667144</v>
      </c>
    </row>
    <row r="59" spans="1:47">
      <c r="A59" s="1" t="s">
        <v>54</v>
      </c>
      <c r="B59" s="1"/>
      <c r="E59" s="2">
        <v>0</v>
      </c>
      <c r="F59" s="2">
        <v>0</v>
      </c>
      <c r="G59" s="2">
        <v>0</v>
      </c>
      <c r="H59" s="2">
        <f t="shared" ref="H59:AU59" si="75">H44</f>
        <v>202770.11999092399</v>
      </c>
      <c r="I59" s="2">
        <f t="shared" si="75"/>
        <v>202770.11999092399</v>
      </c>
      <c r="J59" s="2">
        <f t="shared" si="75"/>
        <v>202770.11999092399</v>
      </c>
      <c r="K59" s="2">
        <f t="shared" si="75"/>
        <v>202770.11999092399</v>
      </c>
      <c r="L59" s="2">
        <f t="shared" si="75"/>
        <v>202770.11999092399</v>
      </c>
      <c r="M59" s="2">
        <f t="shared" si="75"/>
        <v>202770.11999092399</v>
      </c>
      <c r="N59" s="2">
        <f t="shared" si="75"/>
        <v>202770.11999092399</v>
      </c>
      <c r="O59" s="2">
        <f t="shared" si="75"/>
        <v>202770.11999092399</v>
      </c>
      <c r="P59" s="2">
        <f t="shared" si="75"/>
        <v>202770.11999092399</v>
      </c>
      <c r="Q59" s="2">
        <f t="shared" si="75"/>
        <v>202770.11999092399</v>
      </c>
      <c r="R59" s="2">
        <f t="shared" si="75"/>
        <v>202770.11999092399</v>
      </c>
      <c r="S59" s="2">
        <f t="shared" si="75"/>
        <v>202770.11999092399</v>
      </c>
      <c r="T59" s="2">
        <f t="shared" si="75"/>
        <v>202770.11999092399</v>
      </c>
      <c r="U59" s="2">
        <f t="shared" si="75"/>
        <v>202770.11999092399</v>
      </c>
      <c r="V59" s="2">
        <f t="shared" si="75"/>
        <v>202770.11999092399</v>
      </c>
      <c r="W59" s="2">
        <f t="shared" si="75"/>
        <v>202770.11999092399</v>
      </c>
      <c r="X59" s="2">
        <f t="shared" si="75"/>
        <v>202770.11999092399</v>
      </c>
      <c r="Y59" s="2">
        <f t="shared" si="75"/>
        <v>202770.11999092399</v>
      </c>
      <c r="Z59" s="2">
        <f t="shared" si="75"/>
        <v>202770.11999092399</v>
      </c>
      <c r="AA59" s="2">
        <f t="shared" si="75"/>
        <v>202770.11999092399</v>
      </c>
      <c r="AB59" s="2">
        <f t="shared" si="75"/>
        <v>202770.11999092399</v>
      </c>
      <c r="AC59" s="2">
        <f t="shared" si="75"/>
        <v>202770.11999092399</v>
      </c>
      <c r="AD59" s="2">
        <f t="shared" si="75"/>
        <v>202770.11999092399</v>
      </c>
      <c r="AE59" s="2">
        <f t="shared" si="75"/>
        <v>202770.11999092399</v>
      </c>
      <c r="AF59" s="2">
        <f t="shared" si="75"/>
        <v>202770.11999092399</v>
      </c>
      <c r="AG59" s="2">
        <f t="shared" si="75"/>
        <v>202770.11999092399</v>
      </c>
      <c r="AH59" s="2">
        <f t="shared" si="75"/>
        <v>202770.11999092399</v>
      </c>
      <c r="AI59" s="2">
        <f t="shared" si="75"/>
        <v>202770.11999092399</v>
      </c>
      <c r="AJ59" s="2">
        <f t="shared" si="75"/>
        <v>202770.11999092399</v>
      </c>
      <c r="AK59" s="2">
        <f t="shared" si="75"/>
        <v>202770.11999092399</v>
      </c>
      <c r="AL59" s="2">
        <f t="shared" si="75"/>
        <v>202770.11999092399</v>
      </c>
      <c r="AM59" s="2">
        <f t="shared" si="75"/>
        <v>202770.11999092399</v>
      </c>
      <c r="AN59" s="2">
        <f t="shared" si="75"/>
        <v>202770.11999092399</v>
      </c>
      <c r="AO59" s="2">
        <f t="shared" si="75"/>
        <v>202770.11999092399</v>
      </c>
      <c r="AP59" s="2">
        <f t="shared" si="75"/>
        <v>202770.11999092399</v>
      </c>
      <c r="AQ59" s="2">
        <f t="shared" si="75"/>
        <v>202770.11999092399</v>
      </c>
      <c r="AR59" s="2">
        <f t="shared" si="75"/>
        <v>202770.11999092399</v>
      </c>
      <c r="AS59" s="2">
        <f t="shared" si="75"/>
        <v>202770.11999092399</v>
      </c>
      <c r="AT59" s="2">
        <f t="shared" si="75"/>
        <v>202770.11999092399</v>
      </c>
      <c r="AU59" s="2">
        <f t="shared" si="75"/>
        <v>202770.11999092399</v>
      </c>
    </row>
    <row r="60" spans="1:47">
      <c r="A60" s="1"/>
      <c r="B60" t="s">
        <v>23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>
      <c r="A61" s="1" t="s">
        <v>18</v>
      </c>
      <c r="B61" s="9">
        <f>NPV(B33,E61:AU61)</f>
        <v>12858933.604999889</v>
      </c>
      <c r="E61" s="2">
        <f t="shared" ref="E61:AU61" si="76">SUM(E47:E59)</f>
        <v>522499.99999999994</v>
      </c>
      <c r="F61" s="2">
        <f t="shared" si="76"/>
        <v>127000</v>
      </c>
      <c r="G61" s="2">
        <f t="shared" si="76"/>
        <v>1838749.1874999998</v>
      </c>
      <c r="H61" s="2">
        <f t="shared" si="76"/>
        <v>920716.49685073341</v>
      </c>
      <c r="I61" s="2">
        <f t="shared" si="76"/>
        <v>671468.86796540034</v>
      </c>
      <c r="J61" s="2">
        <f t="shared" si="76"/>
        <v>670228.12524901703</v>
      </c>
      <c r="K61" s="2">
        <f t="shared" si="76"/>
        <v>668950.15631022665</v>
      </c>
      <c r="L61" s="2">
        <f t="shared" si="76"/>
        <v>668181.82987728517</v>
      </c>
      <c r="M61" s="2">
        <f t="shared" si="76"/>
        <v>666588.86466601747</v>
      </c>
      <c r="N61" s="2">
        <f t="shared" si="76"/>
        <v>664945.73825446167</v>
      </c>
      <c r="O61" s="2">
        <f t="shared" si="76"/>
        <v>668941.8659865763</v>
      </c>
      <c r="P61" s="2">
        <f t="shared" si="76"/>
        <v>667290.85103799682</v>
      </c>
      <c r="Q61" s="2">
        <f t="shared" si="76"/>
        <v>665574.88438129413</v>
      </c>
      <c r="R61" s="2">
        <f t="shared" si="76"/>
        <v>663790.57323666615</v>
      </c>
      <c r="S61" s="2">
        <f t="shared" si="76"/>
        <v>662302.00268920511</v>
      </c>
      <c r="T61" s="2">
        <f t="shared" si="76"/>
        <v>660145.97303063062</v>
      </c>
      <c r="U61" s="2">
        <f t="shared" si="76"/>
        <v>628421.45637516864</v>
      </c>
      <c r="V61" s="2">
        <f t="shared" si="76"/>
        <v>632055.20518981398</v>
      </c>
      <c r="W61" s="2">
        <f t="shared" si="76"/>
        <v>631681.89692546276</v>
      </c>
      <c r="X61" s="2">
        <f t="shared" si="76"/>
        <v>631304.29245925008</v>
      </c>
      <c r="Y61" s="2">
        <f t="shared" si="76"/>
        <v>630906.52937046427</v>
      </c>
      <c r="Z61" s="2">
        <f t="shared" si="76"/>
        <v>630385.08091395418</v>
      </c>
      <c r="AA61" s="2">
        <f t="shared" si="76"/>
        <v>629752.41612034291</v>
      </c>
      <c r="AB61" s="2">
        <f t="shared" si="76"/>
        <v>629107.00618717528</v>
      </c>
      <c r="AC61" s="2">
        <f t="shared" si="76"/>
        <v>628426.01472185657</v>
      </c>
      <c r="AD61" s="2">
        <f t="shared" si="76"/>
        <v>627628.08501868055</v>
      </c>
      <c r="AE61" s="2">
        <f t="shared" si="76"/>
        <v>626668.64196314069</v>
      </c>
      <c r="AF61" s="2">
        <f t="shared" si="76"/>
        <v>625678.51695891563</v>
      </c>
      <c r="AG61" s="2">
        <f t="shared" si="76"/>
        <v>624630.04423811811</v>
      </c>
      <c r="AH61" s="2">
        <f t="shared" si="76"/>
        <v>623401.78117848421</v>
      </c>
      <c r="AI61" s="2">
        <f t="shared" si="76"/>
        <v>622029.61416854744</v>
      </c>
      <c r="AJ61" s="2">
        <f t="shared" si="76"/>
        <v>620594.33466037817</v>
      </c>
      <c r="AK61" s="2">
        <f t="shared" si="76"/>
        <v>619069.20797355589</v>
      </c>
      <c r="AL61" s="2">
        <f t="shared" si="76"/>
        <v>617242.66234989639</v>
      </c>
      <c r="AM61" s="2">
        <f t="shared" si="76"/>
        <v>615340.04960984492</v>
      </c>
      <c r="AN61" s="2">
        <f t="shared" si="76"/>
        <v>613326.88543276512</v>
      </c>
      <c r="AO61" s="2">
        <f t="shared" si="76"/>
        <v>611038.74795774242</v>
      </c>
      <c r="AP61" s="2">
        <f t="shared" si="76"/>
        <v>608577.98024200497</v>
      </c>
      <c r="AQ61" s="2">
        <f t="shared" si="76"/>
        <v>605980.20665414876</v>
      </c>
      <c r="AR61" s="2">
        <f t="shared" si="76"/>
        <v>603092.29195322143</v>
      </c>
      <c r="AS61" s="2">
        <f t="shared" si="76"/>
        <v>599970.03669394122</v>
      </c>
      <c r="AT61" s="2">
        <f t="shared" si="76"/>
        <v>596673.54655545286</v>
      </c>
      <c r="AU61" s="2">
        <f t="shared" si="76"/>
        <v>593029.13514825853</v>
      </c>
    </row>
    <row r="63" spans="1:47">
      <c r="A63" s="44" t="s">
        <v>28</v>
      </c>
      <c r="B63" s="44"/>
      <c r="C63" s="60"/>
      <c r="D63" s="45"/>
      <c r="E63" s="44"/>
      <c r="F63" s="44"/>
      <c r="G63" s="44"/>
      <c r="H63" s="44">
        <v>1</v>
      </c>
      <c r="I63" s="44">
        <v>2</v>
      </c>
      <c r="J63" s="44">
        <v>3</v>
      </c>
      <c r="K63" s="44">
        <v>4</v>
      </c>
      <c r="L63" s="44">
        <v>5</v>
      </c>
      <c r="M63" s="44">
        <v>6</v>
      </c>
      <c r="N63" s="44">
        <v>7</v>
      </c>
      <c r="O63" s="44">
        <v>8</v>
      </c>
      <c r="P63" s="44">
        <v>9</v>
      </c>
      <c r="Q63" s="44">
        <v>10</v>
      </c>
      <c r="R63" s="44">
        <v>11</v>
      </c>
      <c r="S63" s="44">
        <v>12</v>
      </c>
      <c r="T63" s="44">
        <v>13</v>
      </c>
      <c r="U63" s="44">
        <v>14</v>
      </c>
      <c r="V63" s="44">
        <v>15</v>
      </c>
      <c r="W63" s="44">
        <v>16</v>
      </c>
      <c r="X63" s="44">
        <v>17</v>
      </c>
      <c r="Y63" s="44">
        <v>18</v>
      </c>
      <c r="Z63" s="44">
        <v>19</v>
      </c>
      <c r="AA63" s="44">
        <v>20</v>
      </c>
      <c r="AB63" s="44">
        <v>21</v>
      </c>
      <c r="AC63" s="44">
        <v>22</v>
      </c>
      <c r="AD63" s="44">
        <v>23</v>
      </c>
      <c r="AE63" s="44">
        <v>24</v>
      </c>
      <c r="AF63" s="44">
        <v>25</v>
      </c>
      <c r="AG63" s="44">
        <v>26</v>
      </c>
      <c r="AH63" s="44">
        <v>27</v>
      </c>
      <c r="AI63" s="44">
        <v>28</v>
      </c>
      <c r="AJ63" s="44">
        <v>29</v>
      </c>
      <c r="AK63" s="44">
        <v>30</v>
      </c>
      <c r="AL63" s="44">
        <v>31</v>
      </c>
      <c r="AM63" s="44">
        <v>32</v>
      </c>
      <c r="AN63" s="44">
        <v>33</v>
      </c>
      <c r="AO63" s="44">
        <v>34</v>
      </c>
      <c r="AP63" s="44">
        <v>35</v>
      </c>
      <c r="AQ63" s="44">
        <v>36</v>
      </c>
      <c r="AR63" s="44">
        <v>37</v>
      </c>
      <c r="AS63" s="44">
        <v>38</v>
      </c>
      <c r="AT63" s="44">
        <v>39</v>
      </c>
      <c r="AU63" s="44">
        <v>40</v>
      </c>
    </row>
    <row r="64" spans="1:47">
      <c r="A64" s="64" t="s">
        <v>57</v>
      </c>
      <c r="B64" s="64"/>
      <c r="C64" s="60"/>
      <c r="D64" s="45"/>
      <c r="E64" s="44"/>
      <c r="F64" s="44"/>
      <c r="G64" s="44"/>
      <c r="H64" s="44">
        <v>2016</v>
      </c>
      <c r="I64" s="44">
        <v>2017</v>
      </c>
      <c r="J64" s="44">
        <v>2018</v>
      </c>
      <c r="K64" s="44">
        <v>2019</v>
      </c>
      <c r="L64" s="44">
        <v>2020</v>
      </c>
      <c r="M64" s="44">
        <v>2021</v>
      </c>
      <c r="N64" s="44">
        <v>2022</v>
      </c>
      <c r="O64" s="44">
        <v>2023</v>
      </c>
      <c r="P64" s="44">
        <v>2024</v>
      </c>
      <c r="Q64" s="44">
        <v>2025</v>
      </c>
      <c r="R64" s="44">
        <v>2026</v>
      </c>
      <c r="S64" s="44">
        <v>2027</v>
      </c>
      <c r="T64" s="44">
        <v>2028</v>
      </c>
      <c r="U64" s="44">
        <v>2029</v>
      </c>
      <c r="V64" s="44">
        <v>2030</v>
      </c>
      <c r="W64" s="44">
        <v>2031</v>
      </c>
      <c r="X64" s="44">
        <v>2032</v>
      </c>
      <c r="Y64" s="44">
        <v>2033</v>
      </c>
      <c r="Z64" s="44">
        <v>2034</v>
      </c>
      <c r="AA64" s="44">
        <v>2035</v>
      </c>
      <c r="AB64" s="44">
        <v>2036</v>
      </c>
      <c r="AC64" s="44">
        <v>2037</v>
      </c>
      <c r="AD64" s="44">
        <v>2038</v>
      </c>
      <c r="AE64" s="44">
        <v>2039</v>
      </c>
      <c r="AF64" s="44">
        <v>2040</v>
      </c>
      <c r="AG64" s="44">
        <v>2041</v>
      </c>
      <c r="AH64" s="44">
        <v>2042</v>
      </c>
      <c r="AI64" s="44">
        <v>2043</v>
      </c>
      <c r="AJ64" s="44">
        <v>2044</v>
      </c>
      <c r="AK64" s="44">
        <v>2045</v>
      </c>
      <c r="AL64" s="44">
        <v>2046</v>
      </c>
      <c r="AM64" s="44">
        <v>2047</v>
      </c>
      <c r="AN64" s="44">
        <v>2048</v>
      </c>
      <c r="AO64" s="44">
        <v>2049</v>
      </c>
      <c r="AP64" s="44">
        <v>2050</v>
      </c>
      <c r="AQ64" s="44">
        <v>2051</v>
      </c>
      <c r="AR64" s="44">
        <v>2052</v>
      </c>
      <c r="AS64" s="44">
        <v>2053</v>
      </c>
      <c r="AT64" s="44">
        <v>2054</v>
      </c>
      <c r="AU64" s="44">
        <v>2055</v>
      </c>
    </row>
    <row r="65" spans="1:47">
      <c r="A65" s="44" t="s">
        <v>38</v>
      </c>
      <c r="B65" s="44"/>
      <c r="C65" s="60"/>
      <c r="D65" s="45"/>
      <c r="E65" s="46"/>
      <c r="F65" s="46"/>
      <c r="G65" s="46"/>
      <c r="H65" s="46">
        <f t="shared" ref="H65:AU65" si="77">IF($B$35="A",H79,IF($B$35="B",H81,H83))</f>
        <v>386826.02946264914</v>
      </c>
      <c r="I65" s="46">
        <f t="shared" si="77"/>
        <v>398433.74266233487</v>
      </c>
      <c r="J65" s="46">
        <f t="shared" si="77"/>
        <v>410422.04500266211</v>
      </c>
      <c r="K65" s="46">
        <f t="shared" si="77"/>
        <v>422804.61954637407</v>
      </c>
      <c r="L65" s="46">
        <f t="shared" si="77"/>
        <v>436142.75457709772</v>
      </c>
      <c r="M65" s="46">
        <f t="shared" si="77"/>
        <v>449117.10005606199</v>
      </c>
      <c r="N65" s="46">
        <f t="shared" si="77"/>
        <v>462517.59590378584</v>
      </c>
      <c r="O65" s="46">
        <f t="shared" si="77"/>
        <v>476368.2856776808</v>
      </c>
      <c r="P65" s="46">
        <f t="shared" si="77"/>
        <v>490672.12917107029</v>
      </c>
      <c r="Q65" s="46">
        <f t="shared" si="77"/>
        <v>505446.20552339708</v>
      </c>
      <c r="R65" s="46">
        <f t="shared" si="77"/>
        <v>520705.5187094594</v>
      </c>
      <c r="S65" s="46">
        <f t="shared" si="77"/>
        <v>536883.35485158965</v>
      </c>
      <c r="T65" s="46">
        <f t="shared" si="77"/>
        <v>552905.44266966369</v>
      </c>
      <c r="U65" s="46">
        <f t="shared" si="77"/>
        <v>714698.14137015259</v>
      </c>
      <c r="V65" s="46">
        <f t="shared" si="77"/>
        <v>736241.47465040721</v>
      </c>
      <c r="W65" s="46">
        <f t="shared" si="77"/>
        <v>758864.19530665188</v>
      </c>
      <c r="X65" s="46">
        <f t="shared" si="77"/>
        <v>781589.23775669339</v>
      </c>
      <c r="Y65" s="46">
        <f t="shared" si="77"/>
        <v>805058.83650332293</v>
      </c>
      <c r="Z65" s="46">
        <f t="shared" si="77"/>
        <v>829299.17300312012</v>
      </c>
      <c r="AA65" s="46">
        <f t="shared" si="77"/>
        <v>854782.50211387035</v>
      </c>
      <c r="AB65" s="46">
        <f t="shared" si="77"/>
        <v>880376.93805717945</v>
      </c>
      <c r="AC65" s="46">
        <f t="shared" si="77"/>
        <v>906809.69835731597</v>
      </c>
      <c r="AD65" s="46">
        <f t="shared" si="77"/>
        <v>934110.64803730254</v>
      </c>
      <c r="AE65" s="46">
        <f t="shared" si="77"/>
        <v>962740.89923126739</v>
      </c>
      <c r="AF65" s="46">
        <f t="shared" si="77"/>
        <v>991590.2311665673</v>
      </c>
      <c r="AG65" s="46">
        <f t="shared" si="77"/>
        <v>1021383.7266859229</v>
      </c>
      <c r="AH65" s="46">
        <f t="shared" si="77"/>
        <v>1052156.8525208163</v>
      </c>
      <c r="AI65" s="46">
        <f t="shared" si="77"/>
        <v>1084277.7979869239</v>
      </c>
      <c r="AJ65" s="46">
        <f t="shared" si="77"/>
        <v>1116814.1408562632</v>
      </c>
      <c r="AK65" s="46">
        <f t="shared" si="77"/>
        <v>1150416.6718758736</v>
      </c>
      <c r="AL65" s="46">
        <f t="shared" si="77"/>
        <v>1185580.8824267555</v>
      </c>
      <c r="AM65" s="46">
        <f t="shared" si="77"/>
        <v>1221133.5861174054</v>
      </c>
      <c r="AN65" s="46">
        <f t="shared" si="77"/>
        <v>1257849.6558900662</v>
      </c>
      <c r="AO65" s="46">
        <f t="shared" si="77"/>
        <v>1296290.2879502331</v>
      </c>
      <c r="AP65" s="46">
        <f t="shared" si="77"/>
        <v>1335156.9759781328</v>
      </c>
      <c r="AQ65" s="46">
        <f t="shared" si="77"/>
        <v>1375294.9013596214</v>
      </c>
      <c r="AR65" s="46">
        <f t="shared" si="77"/>
        <v>1417277.8240009591</v>
      </c>
      <c r="AS65" s="46">
        <f t="shared" si="77"/>
        <v>1459784.4060104443</v>
      </c>
      <c r="AT65" s="46">
        <f t="shared" si="77"/>
        <v>1503682.0604955968</v>
      </c>
      <c r="AU65" s="46">
        <f t="shared" si="77"/>
        <v>1549505.5448324955</v>
      </c>
    </row>
    <row r="66" spans="1:47">
      <c r="A66" s="44" t="s">
        <v>39</v>
      </c>
      <c r="B66" s="44"/>
      <c r="C66" s="60"/>
      <c r="D66" s="45"/>
      <c r="E66" s="46"/>
      <c r="F66" s="46"/>
      <c r="G66" s="46"/>
      <c r="H66" s="46">
        <f t="shared" ref="H66:AU66" si="78">IF($B$35="A",H80,IF($B$35="B",H82,H84))</f>
        <v>130845.60291924028</v>
      </c>
      <c r="I66" s="46">
        <f t="shared" si="78"/>
        <v>132154.05894843268</v>
      </c>
      <c r="J66" s="46">
        <f t="shared" si="78"/>
        <v>133475.59953791701</v>
      </c>
      <c r="K66" s="46">
        <f t="shared" si="78"/>
        <v>134810.35553329618</v>
      </c>
      <c r="L66" s="46">
        <f t="shared" si="78"/>
        <v>136158.45908862914</v>
      </c>
      <c r="M66" s="46">
        <f t="shared" si="78"/>
        <v>137520.04367951545</v>
      </c>
      <c r="N66" s="46">
        <f t="shared" si="78"/>
        <v>138895.24411631061</v>
      </c>
      <c r="O66" s="46">
        <f t="shared" si="78"/>
        <v>140284.19655747371</v>
      </c>
      <c r="P66" s="46">
        <f t="shared" si="78"/>
        <v>141687.03852304845</v>
      </c>
      <c r="Q66" s="46">
        <f t="shared" si="78"/>
        <v>143103.90890827891</v>
      </c>
      <c r="R66" s="46">
        <f t="shared" si="78"/>
        <v>144534.94799736171</v>
      </c>
      <c r="S66" s="46">
        <f t="shared" si="78"/>
        <v>145980.29747733532</v>
      </c>
      <c r="T66" s="46">
        <f t="shared" si="78"/>
        <v>147440.10045210869</v>
      </c>
      <c r="U66" s="46">
        <f t="shared" si="78"/>
        <v>0</v>
      </c>
      <c r="V66" s="46">
        <f t="shared" si="78"/>
        <v>0</v>
      </c>
      <c r="W66" s="46">
        <f t="shared" si="78"/>
        <v>0</v>
      </c>
      <c r="X66" s="46">
        <f t="shared" si="78"/>
        <v>0</v>
      </c>
      <c r="Y66" s="46">
        <f t="shared" si="78"/>
        <v>0</v>
      </c>
      <c r="Z66" s="46">
        <f t="shared" si="78"/>
        <v>0</v>
      </c>
      <c r="AA66" s="46">
        <f t="shared" si="78"/>
        <v>0</v>
      </c>
      <c r="AB66" s="46">
        <f t="shared" si="78"/>
        <v>0</v>
      </c>
      <c r="AC66" s="46">
        <f t="shared" si="78"/>
        <v>0</v>
      </c>
      <c r="AD66" s="46">
        <f t="shared" si="78"/>
        <v>0</v>
      </c>
      <c r="AE66" s="46">
        <f t="shared" si="78"/>
        <v>0</v>
      </c>
      <c r="AF66" s="46">
        <f t="shared" si="78"/>
        <v>0</v>
      </c>
      <c r="AG66" s="46">
        <f t="shared" si="78"/>
        <v>0</v>
      </c>
      <c r="AH66" s="46">
        <f t="shared" si="78"/>
        <v>0</v>
      </c>
      <c r="AI66" s="46">
        <f t="shared" si="78"/>
        <v>0</v>
      </c>
      <c r="AJ66" s="46">
        <f t="shared" si="78"/>
        <v>0</v>
      </c>
      <c r="AK66" s="46">
        <f t="shared" si="78"/>
        <v>0</v>
      </c>
      <c r="AL66" s="46">
        <f t="shared" si="78"/>
        <v>0</v>
      </c>
      <c r="AM66" s="46">
        <f t="shared" si="78"/>
        <v>0</v>
      </c>
      <c r="AN66" s="46">
        <f t="shared" si="78"/>
        <v>0</v>
      </c>
      <c r="AO66" s="46">
        <f t="shared" si="78"/>
        <v>0</v>
      </c>
      <c r="AP66" s="46">
        <f t="shared" si="78"/>
        <v>0</v>
      </c>
      <c r="AQ66" s="46">
        <f t="shared" si="78"/>
        <v>0</v>
      </c>
      <c r="AR66" s="46">
        <f t="shared" si="78"/>
        <v>0</v>
      </c>
      <c r="AS66" s="46">
        <f t="shared" si="78"/>
        <v>0</v>
      </c>
      <c r="AT66" s="46">
        <f t="shared" si="78"/>
        <v>0</v>
      </c>
      <c r="AU66" s="46">
        <f t="shared" si="78"/>
        <v>0</v>
      </c>
    </row>
    <row r="67" spans="1:47">
      <c r="A67" s="44" t="s">
        <v>40</v>
      </c>
      <c r="B67" s="44"/>
      <c r="C67" s="60"/>
      <c r="D67" s="45"/>
      <c r="E67" s="46"/>
      <c r="F67" s="46"/>
      <c r="G67" s="46"/>
      <c r="H67" s="46">
        <f t="shared" ref="H67:AU67" si="79">H65+H66</f>
        <v>517671.63238188939</v>
      </c>
      <c r="I67" s="46">
        <f t="shared" si="79"/>
        <v>530587.80161076761</v>
      </c>
      <c r="J67" s="46">
        <f t="shared" si="79"/>
        <v>543897.64454057906</v>
      </c>
      <c r="K67" s="46">
        <f t="shared" si="79"/>
        <v>557614.97507967032</v>
      </c>
      <c r="L67" s="46">
        <f t="shared" si="79"/>
        <v>572301.21366572683</v>
      </c>
      <c r="M67" s="46">
        <f t="shared" si="79"/>
        <v>586637.14373557747</v>
      </c>
      <c r="N67" s="46">
        <f t="shared" si="79"/>
        <v>601412.8400200964</v>
      </c>
      <c r="O67" s="46">
        <f t="shared" si="79"/>
        <v>616652.48223515449</v>
      </c>
      <c r="P67" s="46">
        <f t="shared" si="79"/>
        <v>632359.16769411881</v>
      </c>
      <c r="Q67" s="46">
        <f t="shared" si="79"/>
        <v>648550.11443167599</v>
      </c>
      <c r="R67" s="46">
        <f t="shared" si="79"/>
        <v>665240.46670682111</v>
      </c>
      <c r="S67" s="46">
        <f t="shared" si="79"/>
        <v>682863.65232892497</v>
      </c>
      <c r="T67" s="46">
        <f t="shared" si="79"/>
        <v>700345.54312177235</v>
      </c>
      <c r="U67" s="46">
        <f t="shared" si="79"/>
        <v>714698.14137015259</v>
      </c>
      <c r="V67" s="46">
        <f t="shared" si="79"/>
        <v>736241.47465040721</v>
      </c>
      <c r="W67" s="46">
        <f t="shared" si="79"/>
        <v>758864.19530665188</v>
      </c>
      <c r="X67" s="46">
        <f t="shared" si="79"/>
        <v>781589.23775669339</v>
      </c>
      <c r="Y67" s="46">
        <f t="shared" si="79"/>
        <v>805058.83650332293</v>
      </c>
      <c r="Z67" s="46">
        <f t="shared" si="79"/>
        <v>829299.17300312012</v>
      </c>
      <c r="AA67" s="46">
        <f t="shared" si="79"/>
        <v>854782.50211387035</v>
      </c>
      <c r="AB67" s="46">
        <f t="shared" si="79"/>
        <v>880376.93805717945</v>
      </c>
      <c r="AC67" s="46">
        <f t="shared" si="79"/>
        <v>906809.69835731597</v>
      </c>
      <c r="AD67" s="46">
        <f t="shared" si="79"/>
        <v>934110.64803730254</v>
      </c>
      <c r="AE67" s="46">
        <f t="shared" si="79"/>
        <v>962740.89923126739</v>
      </c>
      <c r="AF67" s="46">
        <f t="shared" si="79"/>
        <v>991590.2311665673</v>
      </c>
      <c r="AG67" s="46">
        <f t="shared" si="79"/>
        <v>1021383.7266859229</v>
      </c>
      <c r="AH67" s="46">
        <f t="shared" si="79"/>
        <v>1052156.8525208163</v>
      </c>
      <c r="AI67" s="46">
        <f t="shared" si="79"/>
        <v>1084277.7979869239</v>
      </c>
      <c r="AJ67" s="46">
        <f t="shared" si="79"/>
        <v>1116814.1408562632</v>
      </c>
      <c r="AK67" s="46">
        <f t="shared" si="79"/>
        <v>1150416.6718758736</v>
      </c>
      <c r="AL67" s="46">
        <f t="shared" si="79"/>
        <v>1185580.8824267555</v>
      </c>
      <c r="AM67" s="46">
        <f t="shared" si="79"/>
        <v>1221133.5861174054</v>
      </c>
      <c r="AN67" s="46">
        <f t="shared" si="79"/>
        <v>1257849.6558900662</v>
      </c>
      <c r="AO67" s="46">
        <f t="shared" si="79"/>
        <v>1296290.2879502331</v>
      </c>
      <c r="AP67" s="46">
        <f t="shared" si="79"/>
        <v>1335156.9759781328</v>
      </c>
      <c r="AQ67" s="46">
        <f t="shared" si="79"/>
        <v>1375294.9013596214</v>
      </c>
      <c r="AR67" s="46">
        <f t="shared" si="79"/>
        <v>1417277.8240009591</v>
      </c>
      <c r="AS67" s="46">
        <f t="shared" si="79"/>
        <v>1459784.4060104443</v>
      </c>
      <c r="AT67" s="46">
        <f t="shared" si="79"/>
        <v>1503682.0604955968</v>
      </c>
      <c r="AU67" s="46">
        <f t="shared" si="79"/>
        <v>1549505.5448324955</v>
      </c>
    </row>
    <row r="68" spans="1:47">
      <c r="A68" s="3" t="s">
        <v>45</v>
      </c>
      <c r="B68" s="3"/>
      <c r="C68" s="10"/>
      <c r="H68" s="24">
        <f t="shared" ref="H68:AU68" si="80">H65*(1-$G$1)+H66</f>
        <v>517671.63238188939</v>
      </c>
      <c r="I68" s="24">
        <f t="shared" si="80"/>
        <v>530587.80161076761</v>
      </c>
      <c r="J68" s="24">
        <f t="shared" si="80"/>
        <v>543897.64454057906</v>
      </c>
      <c r="K68" s="24">
        <f t="shared" si="80"/>
        <v>557614.97507967032</v>
      </c>
      <c r="L68" s="24">
        <f t="shared" si="80"/>
        <v>572301.21366572683</v>
      </c>
      <c r="M68" s="24">
        <f t="shared" si="80"/>
        <v>586637.14373557747</v>
      </c>
      <c r="N68" s="24">
        <f t="shared" si="80"/>
        <v>601412.8400200964</v>
      </c>
      <c r="O68" s="24">
        <f t="shared" si="80"/>
        <v>616652.48223515449</v>
      </c>
      <c r="P68" s="24">
        <f t="shared" si="80"/>
        <v>632359.16769411881</v>
      </c>
      <c r="Q68" s="24">
        <f t="shared" si="80"/>
        <v>648550.11443167599</v>
      </c>
      <c r="R68" s="24">
        <f t="shared" si="80"/>
        <v>665240.46670682111</v>
      </c>
      <c r="S68" s="24">
        <f t="shared" si="80"/>
        <v>682863.65232892497</v>
      </c>
      <c r="T68" s="24">
        <f t="shared" si="80"/>
        <v>700345.54312177235</v>
      </c>
      <c r="U68" s="24">
        <f t="shared" si="80"/>
        <v>714698.14137015259</v>
      </c>
      <c r="V68" s="24">
        <f t="shared" si="80"/>
        <v>736241.47465040721</v>
      </c>
      <c r="W68" s="24">
        <f t="shared" si="80"/>
        <v>758864.19530665188</v>
      </c>
      <c r="X68" s="24">
        <f t="shared" si="80"/>
        <v>781589.23775669339</v>
      </c>
      <c r="Y68" s="24">
        <f t="shared" si="80"/>
        <v>805058.83650332293</v>
      </c>
      <c r="Z68" s="24">
        <f t="shared" si="80"/>
        <v>829299.17300312012</v>
      </c>
      <c r="AA68" s="24">
        <f t="shared" si="80"/>
        <v>854782.50211387035</v>
      </c>
      <c r="AB68" s="24">
        <f t="shared" si="80"/>
        <v>880376.93805717945</v>
      </c>
      <c r="AC68" s="24">
        <f t="shared" si="80"/>
        <v>906809.69835731597</v>
      </c>
      <c r="AD68" s="24">
        <f t="shared" si="80"/>
        <v>934110.64803730254</v>
      </c>
      <c r="AE68" s="24">
        <f t="shared" si="80"/>
        <v>962740.89923126739</v>
      </c>
      <c r="AF68" s="24">
        <f t="shared" si="80"/>
        <v>991590.2311665673</v>
      </c>
      <c r="AG68" s="24">
        <f t="shared" si="80"/>
        <v>1021383.7266859229</v>
      </c>
      <c r="AH68" s="24">
        <f t="shared" si="80"/>
        <v>1052156.8525208163</v>
      </c>
      <c r="AI68" s="24">
        <f t="shared" si="80"/>
        <v>1084277.7979869239</v>
      </c>
      <c r="AJ68" s="24">
        <f t="shared" si="80"/>
        <v>1116814.1408562632</v>
      </c>
      <c r="AK68" s="24">
        <f t="shared" si="80"/>
        <v>1150416.6718758736</v>
      </c>
      <c r="AL68" s="24">
        <f t="shared" si="80"/>
        <v>1185580.8824267555</v>
      </c>
      <c r="AM68" s="24">
        <f t="shared" si="80"/>
        <v>1221133.5861174054</v>
      </c>
      <c r="AN68" s="24">
        <f t="shared" si="80"/>
        <v>1257849.6558900662</v>
      </c>
      <c r="AO68" s="24">
        <f t="shared" si="80"/>
        <v>1296290.2879502331</v>
      </c>
      <c r="AP68" s="24">
        <f t="shared" si="80"/>
        <v>1335156.9759781328</v>
      </c>
      <c r="AQ68" s="24">
        <f t="shared" si="80"/>
        <v>1375294.9013596214</v>
      </c>
      <c r="AR68" s="24">
        <f t="shared" si="80"/>
        <v>1417277.8240009591</v>
      </c>
      <c r="AS68" s="24">
        <f t="shared" si="80"/>
        <v>1459784.4060104443</v>
      </c>
      <c r="AT68" s="24">
        <f t="shared" si="80"/>
        <v>1503682.0604955968</v>
      </c>
      <c r="AU68" s="24">
        <f t="shared" si="80"/>
        <v>1549505.5448324955</v>
      </c>
    </row>
    <row r="70" spans="1:47">
      <c r="A70" s="44" t="s">
        <v>28</v>
      </c>
      <c r="B70" s="44"/>
      <c r="C70" s="60"/>
      <c r="D70" s="45"/>
      <c r="E70" s="44"/>
      <c r="F70" s="44"/>
      <c r="G70" s="44"/>
      <c r="H70" s="44">
        <v>1</v>
      </c>
      <c r="I70" s="44">
        <v>2</v>
      </c>
      <c r="J70" s="44">
        <v>3</v>
      </c>
      <c r="K70" s="44">
        <v>4</v>
      </c>
      <c r="L70" s="44">
        <v>5</v>
      </c>
      <c r="M70" s="44">
        <v>6</v>
      </c>
      <c r="N70" s="44">
        <v>7</v>
      </c>
      <c r="O70" s="44">
        <v>8</v>
      </c>
      <c r="P70" s="44">
        <v>9</v>
      </c>
      <c r="Q70" s="44">
        <v>10</v>
      </c>
      <c r="R70" s="44">
        <v>11</v>
      </c>
      <c r="S70" s="44">
        <v>12</v>
      </c>
      <c r="T70" s="44">
        <v>13</v>
      </c>
      <c r="U70" s="44">
        <v>14</v>
      </c>
      <c r="V70" s="44">
        <v>15</v>
      </c>
      <c r="W70" s="44">
        <v>16</v>
      </c>
      <c r="X70" s="44">
        <v>17</v>
      </c>
      <c r="Y70" s="44">
        <v>18</v>
      </c>
      <c r="Z70" s="44">
        <v>19</v>
      </c>
      <c r="AA70" s="44">
        <v>20</v>
      </c>
      <c r="AB70" s="44">
        <v>21</v>
      </c>
      <c r="AC70" s="44">
        <v>22</v>
      </c>
      <c r="AD70" s="44">
        <v>23</v>
      </c>
      <c r="AE70" s="44">
        <v>24</v>
      </c>
      <c r="AF70" s="44">
        <v>25</v>
      </c>
      <c r="AG70" s="44">
        <v>26</v>
      </c>
      <c r="AH70" s="44">
        <v>27</v>
      </c>
      <c r="AI70" s="44">
        <v>28</v>
      </c>
      <c r="AJ70" s="44">
        <v>29</v>
      </c>
      <c r="AK70" s="44">
        <v>30</v>
      </c>
      <c r="AL70" s="44">
        <v>31</v>
      </c>
      <c r="AM70" s="44">
        <v>32</v>
      </c>
      <c r="AN70" s="44">
        <v>33</v>
      </c>
      <c r="AO70" s="44">
        <v>34</v>
      </c>
      <c r="AP70" s="44">
        <v>35</v>
      </c>
      <c r="AQ70" s="44">
        <v>36</v>
      </c>
      <c r="AR70" s="44">
        <v>37</v>
      </c>
      <c r="AS70" s="44">
        <v>38</v>
      </c>
      <c r="AT70" s="44">
        <v>39</v>
      </c>
      <c r="AU70" s="44">
        <v>40</v>
      </c>
    </row>
    <row r="71" spans="1:47">
      <c r="A71" s="64" t="s">
        <v>58</v>
      </c>
      <c r="B71" s="64"/>
      <c r="C71" s="60"/>
      <c r="D71" s="45"/>
      <c r="E71" s="44"/>
      <c r="F71" s="44"/>
      <c r="G71" s="44"/>
      <c r="H71" s="44">
        <v>2016</v>
      </c>
      <c r="I71" s="44">
        <v>2017</v>
      </c>
      <c r="J71" s="44">
        <v>2018</v>
      </c>
      <c r="K71" s="44">
        <v>2019</v>
      </c>
      <c r="L71" s="44">
        <v>2020</v>
      </c>
      <c r="M71" s="44">
        <v>2021</v>
      </c>
      <c r="N71" s="44">
        <v>2022</v>
      </c>
      <c r="O71" s="44">
        <v>2023</v>
      </c>
      <c r="P71" s="44">
        <v>2024</v>
      </c>
      <c r="Q71" s="44">
        <v>2025</v>
      </c>
      <c r="R71" s="44">
        <v>2026</v>
      </c>
      <c r="S71" s="44">
        <v>2027</v>
      </c>
      <c r="T71" s="44">
        <v>2028</v>
      </c>
      <c r="U71" s="44">
        <v>2029</v>
      </c>
      <c r="V71" s="44">
        <v>2030</v>
      </c>
      <c r="W71" s="44">
        <v>2031</v>
      </c>
      <c r="X71" s="44">
        <v>2032</v>
      </c>
      <c r="Y71" s="44">
        <v>2033</v>
      </c>
      <c r="Z71" s="44">
        <v>2034</v>
      </c>
      <c r="AA71" s="44">
        <v>2035</v>
      </c>
      <c r="AB71" s="44">
        <v>2036</v>
      </c>
      <c r="AC71" s="44">
        <v>2037</v>
      </c>
      <c r="AD71" s="44">
        <v>2038</v>
      </c>
      <c r="AE71" s="44">
        <v>2039</v>
      </c>
      <c r="AF71" s="44">
        <v>2040</v>
      </c>
      <c r="AG71" s="44">
        <v>2041</v>
      </c>
      <c r="AH71" s="44">
        <v>2042</v>
      </c>
      <c r="AI71" s="44">
        <v>2043</v>
      </c>
      <c r="AJ71" s="44">
        <v>2044</v>
      </c>
      <c r="AK71" s="44">
        <v>2045</v>
      </c>
      <c r="AL71" s="44">
        <v>2046</v>
      </c>
      <c r="AM71" s="44">
        <v>2047</v>
      </c>
      <c r="AN71" s="44">
        <v>2048</v>
      </c>
      <c r="AO71" s="44">
        <v>2049</v>
      </c>
      <c r="AP71" s="44">
        <v>2050</v>
      </c>
      <c r="AQ71" s="44">
        <v>2051</v>
      </c>
      <c r="AR71" s="44">
        <v>2052</v>
      </c>
      <c r="AS71" s="44">
        <v>2053</v>
      </c>
      <c r="AT71" s="44">
        <v>2054</v>
      </c>
      <c r="AU71" s="44">
        <v>2055</v>
      </c>
    </row>
    <row r="72" spans="1:47">
      <c r="A72" s="44" t="s">
        <v>38</v>
      </c>
      <c r="B72" s="44"/>
      <c r="C72" s="60"/>
      <c r="D72" s="45"/>
      <c r="E72" s="46"/>
      <c r="F72" s="46"/>
      <c r="G72" s="46"/>
      <c r="H72" s="46">
        <f t="shared" ref="H72:AU72" si="81">IF($B$35="A",H86,IF($B$35="B",H88,H90))</f>
        <v>386826.02946264914</v>
      </c>
      <c r="I72" s="46">
        <f t="shared" si="81"/>
        <v>398433.74266233487</v>
      </c>
      <c r="J72" s="46">
        <f t="shared" si="81"/>
        <v>410422.04500266211</v>
      </c>
      <c r="K72" s="46">
        <f t="shared" si="81"/>
        <v>422804.61954637407</v>
      </c>
      <c r="L72" s="46">
        <f t="shared" si="81"/>
        <v>436142.75457709772</v>
      </c>
      <c r="M72" s="46">
        <f t="shared" si="81"/>
        <v>449117.10005606199</v>
      </c>
      <c r="N72" s="46">
        <f t="shared" si="81"/>
        <v>462517.59590378584</v>
      </c>
      <c r="O72" s="46">
        <f t="shared" si="81"/>
        <v>476368.2856776808</v>
      </c>
      <c r="P72" s="46">
        <f t="shared" si="81"/>
        <v>490672.12917107029</v>
      </c>
      <c r="Q72" s="46">
        <f t="shared" si="81"/>
        <v>505446.20552339708</v>
      </c>
      <c r="R72" s="46">
        <f t="shared" si="81"/>
        <v>520705.5187094594</v>
      </c>
      <c r="S72" s="46">
        <f t="shared" si="81"/>
        <v>536883.35485158965</v>
      </c>
      <c r="T72" s="46">
        <f t="shared" si="81"/>
        <v>552905.44266966369</v>
      </c>
      <c r="U72" s="46">
        <f t="shared" si="81"/>
        <v>569465.50058294449</v>
      </c>
      <c r="V72" s="46">
        <f t="shared" si="81"/>
        <v>589486.71325267525</v>
      </c>
      <c r="W72" s="46">
        <f t="shared" si="81"/>
        <v>610214.41707008181</v>
      </c>
      <c r="X72" s="46">
        <f t="shared" si="81"/>
        <v>631658.36457701202</v>
      </c>
      <c r="Y72" s="46">
        <f t="shared" si="81"/>
        <v>653824.42043212452</v>
      </c>
      <c r="Z72" s="46">
        <f t="shared" si="81"/>
        <v>676609.94902666262</v>
      </c>
      <c r="AA72" s="46">
        <f t="shared" si="81"/>
        <v>700058.17410576111</v>
      </c>
      <c r="AB72" s="46">
        <f t="shared" si="81"/>
        <v>724320.764649363</v>
      </c>
      <c r="AC72" s="46">
        <f t="shared" si="81"/>
        <v>749398.99868191266</v>
      </c>
      <c r="AD72" s="46">
        <f t="shared" si="81"/>
        <v>775222.21285365405</v>
      </c>
      <c r="AE72" s="46">
        <f t="shared" si="81"/>
        <v>801766.85654228833</v>
      </c>
      <c r="AF72" s="46">
        <f t="shared" si="81"/>
        <v>829229.64755147789</v>
      </c>
      <c r="AG72" s="46">
        <f t="shared" si="81"/>
        <v>857610.65911005251</v>
      </c>
      <c r="AH72" s="46">
        <f t="shared" si="81"/>
        <v>886794.19118494471</v>
      </c>
      <c r="AI72" s="46">
        <f t="shared" si="81"/>
        <v>916862.39315736084</v>
      </c>
      <c r="AJ72" s="46">
        <f t="shared" si="81"/>
        <v>947954.93046326912</v>
      </c>
      <c r="AK72" s="46">
        <f t="shared" si="81"/>
        <v>980078.69450183818</v>
      </c>
      <c r="AL72" s="46">
        <f t="shared" si="81"/>
        <v>1013011.3215231982</v>
      </c>
      <c r="AM72" s="46">
        <f t="shared" si="81"/>
        <v>1047077.6806312115</v>
      </c>
      <c r="AN72" s="46">
        <f t="shared" si="81"/>
        <v>1082279.8605113488</v>
      </c>
      <c r="AO72" s="46">
        <f t="shared" si="81"/>
        <v>1118459.4495765856</v>
      </c>
      <c r="AP72" s="46">
        <f t="shared" si="81"/>
        <v>1155792.9906935086</v>
      </c>
      <c r="AQ72" s="46">
        <f t="shared" si="81"/>
        <v>1194375.6182047767</v>
      </c>
      <c r="AR72" s="46">
        <f t="shared" si="81"/>
        <v>1234068.7374594915</v>
      </c>
      <c r="AS72" s="46">
        <f t="shared" si="81"/>
        <v>1274996.7290584648</v>
      </c>
      <c r="AT72" s="46">
        <f t="shared" si="81"/>
        <v>1317291.5011327651</v>
      </c>
      <c r="AU72" s="46">
        <f t="shared" si="81"/>
        <v>1360795.2538859728</v>
      </c>
    </row>
    <row r="73" spans="1:47">
      <c r="A73" s="44" t="s">
        <v>39</v>
      </c>
      <c r="B73" s="44"/>
      <c r="C73" s="60"/>
      <c r="D73" s="45"/>
      <c r="E73" s="46"/>
      <c r="F73" s="46"/>
      <c r="G73" s="46"/>
      <c r="H73" s="46">
        <f t="shared" ref="H73:AU73" si="82">IF($B$35="A",H87,IF($B$35="B",H89,H91))</f>
        <v>130845.60291924028</v>
      </c>
      <c r="I73" s="46">
        <f t="shared" si="82"/>
        <v>132154.05894843268</v>
      </c>
      <c r="J73" s="46">
        <f t="shared" si="82"/>
        <v>133475.59953791701</v>
      </c>
      <c r="K73" s="46">
        <f t="shared" si="82"/>
        <v>134810.35553329618</v>
      </c>
      <c r="L73" s="46">
        <f t="shared" si="82"/>
        <v>136158.45908862914</v>
      </c>
      <c r="M73" s="46">
        <f t="shared" si="82"/>
        <v>137520.04367951545</v>
      </c>
      <c r="N73" s="46">
        <f t="shared" si="82"/>
        <v>138895.24411631061</v>
      </c>
      <c r="O73" s="46">
        <f t="shared" si="82"/>
        <v>140284.19655747371</v>
      </c>
      <c r="P73" s="46">
        <f t="shared" si="82"/>
        <v>141687.03852304845</v>
      </c>
      <c r="Q73" s="46">
        <f t="shared" si="82"/>
        <v>143103.90890827891</v>
      </c>
      <c r="R73" s="46">
        <f t="shared" si="82"/>
        <v>144534.94799736171</v>
      </c>
      <c r="S73" s="46">
        <f t="shared" si="82"/>
        <v>145980.29747733532</v>
      </c>
      <c r="T73" s="46">
        <f t="shared" si="82"/>
        <v>147440.10045210869</v>
      </c>
      <c r="U73" s="46">
        <f t="shared" si="82"/>
        <v>148914.50145662978</v>
      </c>
      <c r="V73" s="46">
        <f t="shared" si="82"/>
        <v>150403.64647119609</v>
      </c>
      <c r="W73" s="46">
        <f t="shared" si="82"/>
        <v>151907.68293590803</v>
      </c>
      <c r="X73" s="46">
        <f t="shared" si="82"/>
        <v>153426.75976526711</v>
      </c>
      <c r="Y73" s="46">
        <f t="shared" si="82"/>
        <v>154961.02736291979</v>
      </c>
      <c r="Z73" s="46">
        <f t="shared" si="82"/>
        <v>156510.63763654899</v>
      </c>
      <c r="AA73" s="46">
        <f t="shared" si="82"/>
        <v>158075.74401291448</v>
      </c>
      <c r="AB73" s="46">
        <f t="shared" si="82"/>
        <v>159656.5014530436</v>
      </c>
      <c r="AC73" s="46">
        <f t="shared" si="82"/>
        <v>161253.06646757404</v>
      </c>
      <c r="AD73" s="46">
        <f t="shared" si="82"/>
        <v>162865.59713224979</v>
      </c>
      <c r="AE73" s="46">
        <f t="shared" si="82"/>
        <v>164494.25310357229</v>
      </c>
      <c r="AF73" s="46">
        <f t="shared" si="82"/>
        <v>166139.19563460801</v>
      </c>
      <c r="AG73" s="46">
        <f t="shared" si="82"/>
        <v>167800.58759095409</v>
      </c>
      <c r="AH73" s="46">
        <f t="shared" si="82"/>
        <v>169478.59346686362</v>
      </c>
      <c r="AI73" s="46">
        <f t="shared" si="82"/>
        <v>171173.37940153229</v>
      </c>
      <c r="AJ73" s="46">
        <f t="shared" si="82"/>
        <v>172885.1131955476</v>
      </c>
      <c r="AK73" s="46">
        <f t="shared" si="82"/>
        <v>174613.96432750308</v>
      </c>
      <c r="AL73" s="46">
        <f t="shared" si="82"/>
        <v>176360.10397077812</v>
      </c>
      <c r="AM73" s="46">
        <f t="shared" si="82"/>
        <v>178123.70501048589</v>
      </c>
      <c r="AN73" s="46">
        <f t="shared" si="82"/>
        <v>179904.94206059078</v>
      </c>
      <c r="AO73" s="46">
        <f t="shared" si="82"/>
        <v>181703.99148119666</v>
      </c>
      <c r="AP73" s="46">
        <f t="shared" si="82"/>
        <v>183521.03139600862</v>
      </c>
      <c r="AQ73" s="46">
        <f t="shared" si="82"/>
        <v>185356.24170996872</v>
      </c>
      <c r="AR73" s="46">
        <f t="shared" si="82"/>
        <v>187209.8041270684</v>
      </c>
      <c r="AS73" s="46">
        <f t="shared" si="82"/>
        <v>189081.90216833906</v>
      </c>
      <c r="AT73" s="46">
        <f t="shared" si="82"/>
        <v>190972.72119002248</v>
      </c>
      <c r="AU73" s="46">
        <f t="shared" si="82"/>
        <v>192882.44840192268</v>
      </c>
    </row>
    <row r="74" spans="1:47">
      <c r="A74" s="44" t="s">
        <v>40</v>
      </c>
      <c r="B74" s="44"/>
      <c r="C74" s="60"/>
      <c r="D74" s="45"/>
      <c r="E74" s="46"/>
      <c r="F74" s="46"/>
      <c r="G74" s="46"/>
      <c r="H74" s="46">
        <f t="shared" ref="H74:J74" si="83">H72+H73</f>
        <v>517671.63238188939</v>
      </c>
      <c r="I74" s="46">
        <f t="shared" si="83"/>
        <v>530587.80161076761</v>
      </c>
      <c r="J74" s="46">
        <f t="shared" si="83"/>
        <v>543897.64454057906</v>
      </c>
      <c r="K74" s="46">
        <f t="shared" ref="K74" si="84">K72+K73</f>
        <v>557614.97507967032</v>
      </c>
      <c r="L74" s="46">
        <f t="shared" ref="L74" si="85">L72+L73</f>
        <v>572301.21366572683</v>
      </c>
      <c r="M74" s="46">
        <f t="shared" ref="M74" si="86">M72+M73</f>
        <v>586637.14373557747</v>
      </c>
      <c r="N74" s="46">
        <f t="shared" ref="N74" si="87">N72+N73</f>
        <v>601412.8400200964</v>
      </c>
      <c r="O74" s="46">
        <f t="shared" ref="O74" si="88">O72+O73</f>
        <v>616652.48223515449</v>
      </c>
      <c r="P74" s="46">
        <f t="shared" ref="P74" si="89">P72+P73</f>
        <v>632359.16769411881</v>
      </c>
      <c r="Q74" s="46">
        <f t="shared" ref="Q74" si="90">Q72+Q73</f>
        <v>648550.11443167599</v>
      </c>
      <c r="R74" s="46">
        <f t="shared" ref="R74" si="91">R72+R73</f>
        <v>665240.46670682111</v>
      </c>
      <c r="S74" s="46">
        <f t="shared" ref="S74" si="92">S72+S73</f>
        <v>682863.65232892497</v>
      </c>
      <c r="T74" s="46">
        <f t="shared" ref="T74" si="93">T72+T73</f>
        <v>700345.54312177235</v>
      </c>
      <c r="U74" s="46">
        <f t="shared" ref="U74" si="94">U72+U73</f>
        <v>718380.00203957432</v>
      </c>
      <c r="V74" s="46">
        <f t="shared" ref="V74" si="95">V72+V73</f>
        <v>739890.35972387134</v>
      </c>
      <c r="W74" s="46">
        <f t="shared" ref="W74" si="96">W72+W73</f>
        <v>762122.10000598989</v>
      </c>
      <c r="X74" s="46">
        <f t="shared" ref="X74" si="97">X72+X73</f>
        <v>785085.12434227916</v>
      </c>
      <c r="Y74" s="46">
        <f t="shared" ref="Y74" si="98">Y72+Y73</f>
        <v>808785.44779504428</v>
      </c>
      <c r="Z74" s="46">
        <f t="shared" ref="Z74" si="99">Z72+Z73</f>
        <v>833120.58666321158</v>
      </c>
      <c r="AA74" s="46">
        <f t="shared" ref="AA74" si="100">AA72+AA73</f>
        <v>858133.91811867559</v>
      </c>
      <c r="AB74" s="46">
        <f t="shared" ref="AB74" si="101">AB72+AB73</f>
        <v>883977.26610240666</v>
      </c>
      <c r="AC74" s="46">
        <f t="shared" ref="AC74" si="102">AC72+AC73</f>
        <v>910652.06514948676</v>
      </c>
      <c r="AD74" s="46">
        <f t="shared" ref="AD74" si="103">AD72+AD73</f>
        <v>938087.80998590379</v>
      </c>
      <c r="AE74" s="46">
        <f t="shared" ref="AE74" si="104">AE72+AE73</f>
        <v>966261.10964586062</v>
      </c>
      <c r="AF74" s="46">
        <f t="shared" ref="AF74" si="105">AF72+AF73</f>
        <v>995368.84318608593</v>
      </c>
      <c r="AG74" s="46">
        <f t="shared" ref="AG74" si="106">AG72+AG73</f>
        <v>1025411.2467010065</v>
      </c>
      <c r="AH74" s="46">
        <f t="shared" ref="AH74" si="107">AH72+AH73</f>
        <v>1056272.7846518084</v>
      </c>
      <c r="AI74" s="46">
        <f t="shared" ref="AI74" si="108">AI72+AI73</f>
        <v>1088035.7725588931</v>
      </c>
      <c r="AJ74" s="46">
        <f t="shared" ref="AJ74" si="109">AJ72+AJ73</f>
        <v>1120840.0436588167</v>
      </c>
      <c r="AK74" s="46">
        <f t="shared" ref="AK74" si="110">AK72+AK73</f>
        <v>1154692.6588293412</v>
      </c>
      <c r="AL74" s="46">
        <f t="shared" ref="AL74" si="111">AL72+AL73</f>
        <v>1189371.4254939763</v>
      </c>
      <c r="AM74" s="46">
        <f t="shared" ref="AM74" si="112">AM72+AM73</f>
        <v>1225201.3856416973</v>
      </c>
      <c r="AN74" s="46">
        <f t="shared" ref="AN74" si="113">AN72+AN73</f>
        <v>1262184.8025719395</v>
      </c>
      <c r="AO74" s="46">
        <f t="shared" ref="AO74" si="114">AO72+AO73</f>
        <v>1300163.4410577822</v>
      </c>
      <c r="AP74" s="46">
        <f t="shared" ref="AP74" si="115">AP72+AP73</f>
        <v>1339314.0220895172</v>
      </c>
      <c r="AQ74" s="46">
        <f t="shared" ref="AQ74" si="116">AQ72+AQ73</f>
        <v>1379731.8599147454</v>
      </c>
      <c r="AR74" s="46">
        <f t="shared" ref="AR74" si="117">AR72+AR73</f>
        <v>1421278.54158656</v>
      </c>
      <c r="AS74" s="46">
        <f t="shared" ref="AS74" si="118">AS72+AS73</f>
        <v>1464078.6312268039</v>
      </c>
      <c r="AT74" s="46">
        <f t="shared" ref="AT74" si="119">AT72+AT73</f>
        <v>1508264.2223227876</v>
      </c>
      <c r="AU74" s="46">
        <f t="shared" ref="AU74" si="120">AU72+AU73</f>
        <v>1553677.7022878954</v>
      </c>
    </row>
    <row r="75" spans="1:47">
      <c r="A75" s="3" t="s">
        <v>45</v>
      </c>
      <c r="B75" s="3"/>
      <c r="C75" s="10"/>
      <c r="H75" s="24">
        <f t="shared" ref="H75:AU75" si="121">H72*(1-$G$1)+H73</f>
        <v>517671.63238188939</v>
      </c>
      <c r="I75" s="24">
        <f t="shared" si="121"/>
        <v>530587.80161076761</v>
      </c>
      <c r="J75" s="24">
        <f t="shared" si="121"/>
        <v>543897.64454057906</v>
      </c>
      <c r="K75" s="24">
        <f t="shared" si="121"/>
        <v>557614.97507967032</v>
      </c>
      <c r="L75" s="24">
        <f t="shared" si="121"/>
        <v>572301.21366572683</v>
      </c>
      <c r="M75" s="24">
        <f t="shared" si="121"/>
        <v>586637.14373557747</v>
      </c>
      <c r="N75" s="24">
        <f t="shared" si="121"/>
        <v>601412.8400200964</v>
      </c>
      <c r="O75" s="24">
        <f t="shared" si="121"/>
        <v>616652.48223515449</v>
      </c>
      <c r="P75" s="24">
        <f t="shared" si="121"/>
        <v>632359.16769411881</v>
      </c>
      <c r="Q75" s="24">
        <f t="shared" si="121"/>
        <v>648550.11443167599</v>
      </c>
      <c r="R75" s="24">
        <f t="shared" si="121"/>
        <v>665240.46670682111</v>
      </c>
      <c r="S75" s="24">
        <f t="shared" si="121"/>
        <v>682863.65232892497</v>
      </c>
      <c r="T75" s="24">
        <f t="shared" si="121"/>
        <v>700345.54312177235</v>
      </c>
      <c r="U75" s="24">
        <f t="shared" si="121"/>
        <v>718380.00203957432</v>
      </c>
      <c r="V75" s="24">
        <f t="shared" si="121"/>
        <v>739890.35972387134</v>
      </c>
      <c r="W75" s="24">
        <f t="shared" si="121"/>
        <v>762122.10000598989</v>
      </c>
      <c r="X75" s="24">
        <f t="shared" si="121"/>
        <v>785085.12434227916</v>
      </c>
      <c r="Y75" s="24">
        <f t="shared" si="121"/>
        <v>808785.44779504428</v>
      </c>
      <c r="Z75" s="24">
        <f t="shared" si="121"/>
        <v>833120.58666321158</v>
      </c>
      <c r="AA75" s="24">
        <f t="shared" si="121"/>
        <v>858133.91811867559</v>
      </c>
      <c r="AB75" s="24">
        <f t="shared" si="121"/>
        <v>883977.26610240666</v>
      </c>
      <c r="AC75" s="24">
        <f t="shared" si="121"/>
        <v>910652.06514948676</v>
      </c>
      <c r="AD75" s="24">
        <f t="shared" si="121"/>
        <v>938087.80998590379</v>
      </c>
      <c r="AE75" s="24">
        <f t="shared" si="121"/>
        <v>966261.10964586062</v>
      </c>
      <c r="AF75" s="24">
        <f t="shared" si="121"/>
        <v>995368.84318608593</v>
      </c>
      <c r="AG75" s="24">
        <f t="shared" si="121"/>
        <v>1025411.2467010065</v>
      </c>
      <c r="AH75" s="24">
        <f t="shared" si="121"/>
        <v>1056272.7846518084</v>
      </c>
      <c r="AI75" s="24">
        <f t="shared" si="121"/>
        <v>1088035.7725588931</v>
      </c>
      <c r="AJ75" s="24">
        <f t="shared" si="121"/>
        <v>1120840.0436588167</v>
      </c>
      <c r="AK75" s="24">
        <f t="shared" si="121"/>
        <v>1154692.6588293412</v>
      </c>
      <c r="AL75" s="24">
        <f t="shared" si="121"/>
        <v>1189371.4254939763</v>
      </c>
      <c r="AM75" s="24">
        <f t="shared" si="121"/>
        <v>1225201.3856416973</v>
      </c>
      <c r="AN75" s="24">
        <f t="shared" si="121"/>
        <v>1262184.8025719395</v>
      </c>
      <c r="AO75" s="24">
        <f t="shared" si="121"/>
        <v>1300163.4410577822</v>
      </c>
      <c r="AP75" s="24">
        <f t="shared" si="121"/>
        <v>1339314.0220895172</v>
      </c>
      <c r="AQ75" s="24">
        <f t="shared" si="121"/>
        <v>1379731.8599147454</v>
      </c>
      <c r="AR75" s="24">
        <f t="shared" si="121"/>
        <v>1421278.54158656</v>
      </c>
      <c r="AS75" s="24">
        <f t="shared" si="121"/>
        <v>1464078.6312268039</v>
      </c>
      <c r="AT75" s="24">
        <f t="shared" si="121"/>
        <v>1508264.2223227876</v>
      </c>
      <c r="AU75" s="24">
        <f t="shared" si="121"/>
        <v>1553677.7022878954</v>
      </c>
    </row>
    <row r="77" spans="1:47">
      <c r="A77" t="s">
        <v>66</v>
      </c>
      <c r="H77" s="24">
        <v>19240</v>
      </c>
      <c r="I77" s="24">
        <v>18850</v>
      </c>
      <c r="J77" s="24">
        <v>18467</v>
      </c>
      <c r="K77" s="24">
        <v>18092</v>
      </c>
      <c r="L77" s="24">
        <v>17725</v>
      </c>
      <c r="M77" s="24">
        <v>17365</v>
      </c>
      <c r="N77" s="24">
        <v>17013</v>
      </c>
      <c r="O77" s="24">
        <v>16667</v>
      </c>
      <c r="P77" s="24">
        <v>16329</v>
      </c>
      <c r="Q77" s="24">
        <v>15997</v>
      </c>
      <c r="R77" s="24">
        <v>15673</v>
      </c>
      <c r="S77" s="24">
        <v>15354</v>
      </c>
      <c r="T77" s="24">
        <v>15043</v>
      </c>
      <c r="U77" s="24">
        <v>14737</v>
      </c>
      <c r="V77" s="24">
        <v>14438</v>
      </c>
      <c r="W77" s="24">
        <v>14145</v>
      </c>
      <c r="X77" s="24">
        <v>13858</v>
      </c>
      <c r="Y77" s="24">
        <v>13577</v>
      </c>
      <c r="Z77" s="24">
        <v>13301</v>
      </c>
      <c r="AA77" s="24">
        <v>13031</v>
      </c>
      <c r="AB77" s="24">
        <v>12767</v>
      </c>
      <c r="AC77" s="24">
        <v>12507</v>
      </c>
      <c r="AD77" s="24">
        <v>12253</v>
      </c>
      <c r="AE77" s="24">
        <v>12005</v>
      </c>
      <c r="AF77" s="24">
        <v>11761</v>
      </c>
      <c r="AG77" s="24">
        <v>11522</v>
      </c>
      <c r="AH77" s="24">
        <v>11288</v>
      </c>
      <c r="AI77" s="24">
        <v>11059</v>
      </c>
      <c r="AJ77" s="24">
        <v>10835</v>
      </c>
      <c r="AK77" s="24">
        <v>10615</v>
      </c>
      <c r="AL77" s="24">
        <v>10399</v>
      </c>
      <c r="AM77" s="24">
        <v>10188</v>
      </c>
      <c r="AN77" s="24">
        <v>9981</v>
      </c>
      <c r="AO77" s="24">
        <v>9779</v>
      </c>
      <c r="AP77" s="24">
        <v>9580</v>
      </c>
      <c r="AQ77" s="24">
        <v>9386</v>
      </c>
      <c r="AR77" s="24">
        <v>9195</v>
      </c>
      <c r="AS77" s="24">
        <v>9009</v>
      </c>
      <c r="AT77" s="24">
        <v>8826</v>
      </c>
      <c r="AU77" s="24">
        <v>8647</v>
      </c>
    </row>
    <row r="79" spans="1:47">
      <c r="A79" s="64" t="s">
        <v>68</v>
      </c>
      <c r="H79" s="46">
        <v>386826.02946264914</v>
      </c>
      <c r="I79" s="46">
        <v>398433.74266233487</v>
      </c>
      <c r="J79" s="46">
        <v>410422.04500266211</v>
      </c>
      <c r="K79" s="46">
        <v>422804.61954637407</v>
      </c>
      <c r="L79" s="46">
        <v>436142.75457709772</v>
      </c>
      <c r="M79" s="46">
        <v>449117.10005606199</v>
      </c>
      <c r="N79" s="46">
        <v>462517.59590378584</v>
      </c>
      <c r="O79" s="46">
        <v>476368.2856776808</v>
      </c>
      <c r="P79" s="46">
        <v>490672.12917107029</v>
      </c>
      <c r="Q79" s="46">
        <v>505446.20552339708</v>
      </c>
      <c r="R79" s="46">
        <v>520705.5187094594</v>
      </c>
      <c r="S79" s="46">
        <v>536883.35485158965</v>
      </c>
      <c r="T79" s="46">
        <v>552905.44266966369</v>
      </c>
      <c r="U79" s="46">
        <v>714698.14137015259</v>
      </c>
      <c r="V79" s="46">
        <v>736241.47465040721</v>
      </c>
      <c r="W79" s="46">
        <v>758864.19530665188</v>
      </c>
      <c r="X79" s="46">
        <v>781589.23775669339</v>
      </c>
      <c r="Y79" s="46">
        <v>805058.83650332293</v>
      </c>
      <c r="Z79" s="46">
        <v>829299.17300312012</v>
      </c>
      <c r="AA79" s="46">
        <v>854782.50211387035</v>
      </c>
      <c r="AB79" s="46">
        <v>880376.93805717945</v>
      </c>
      <c r="AC79" s="46">
        <v>906809.69835731597</v>
      </c>
      <c r="AD79" s="46">
        <v>934110.64803730254</v>
      </c>
      <c r="AE79" s="46">
        <v>962740.89923126739</v>
      </c>
      <c r="AF79" s="46">
        <v>991590.2311665673</v>
      </c>
      <c r="AG79" s="46">
        <v>1021383.7266859229</v>
      </c>
      <c r="AH79" s="46">
        <v>1052156.8525208163</v>
      </c>
      <c r="AI79" s="46">
        <v>1084277.7979869239</v>
      </c>
      <c r="AJ79" s="46">
        <v>1116814.1408562632</v>
      </c>
      <c r="AK79" s="46">
        <v>1150416.6718758736</v>
      </c>
      <c r="AL79" s="46">
        <v>1185580.8824267555</v>
      </c>
      <c r="AM79" s="46">
        <v>1221133.5861174054</v>
      </c>
      <c r="AN79" s="46">
        <v>1257849.6558900662</v>
      </c>
      <c r="AO79" s="46">
        <v>1296290.2879502331</v>
      </c>
      <c r="AP79" s="46">
        <v>1335156.9759781328</v>
      </c>
      <c r="AQ79" s="46">
        <v>1375294.9013596214</v>
      </c>
      <c r="AR79" s="46">
        <v>1417277.8240009591</v>
      </c>
      <c r="AS79" s="46">
        <v>1459784.4060104443</v>
      </c>
      <c r="AT79" s="46">
        <v>1503682.0604955968</v>
      </c>
      <c r="AU79" s="46">
        <v>1549505.5448324955</v>
      </c>
    </row>
    <row r="80" spans="1:47">
      <c r="A80" s="64" t="s">
        <v>69</v>
      </c>
      <c r="H80" s="46">
        <v>130845.60291924028</v>
      </c>
      <c r="I80" s="46">
        <v>132154.05894843268</v>
      </c>
      <c r="J80" s="46">
        <v>133475.59953791701</v>
      </c>
      <c r="K80" s="46">
        <v>134810.35553329618</v>
      </c>
      <c r="L80" s="46">
        <v>136158.45908862914</v>
      </c>
      <c r="M80" s="46">
        <v>137520.04367951545</v>
      </c>
      <c r="N80" s="46">
        <v>138895.24411631061</v>
      </c>
      <c r="O80" s="46">
        <v>140284.19655747371</v>
      </c>
      <c r="P80" s="46">
        <v>141687.03852304845</v>
      </c>
      <c r="Q80" s="46">
        <v>143103.90890827891</v>
      </c>
      <c r="R80" s="46">
        <v>144534.94799736171</v>
      </c>
      <c r="S80" s="46">
        <v>145980.29747733532</v>
      </c>
      <c r="T80" s="46">
        <v>147440.10045210869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46">
        <v>0</v>
      </c>
      <c r="AS80" s="46">
        <v>0</v>
      </c>
      <c r="AT80" s="46">
        <v>0</v>
      </c>
      <c r="AU80" s="46">
        <v>0</v>
      </c>
    </row>
    <row r="81" spans="1:47">
      <c r="A81" s="64" t="s">
        <v>70</v>
      </c>
      <c r="H81" s="46">
        <v>389836.6291501465</v>
      </c>
      <c r="I81" s="46">
        <v>402329.63975965662</v>
      </c>
      <c r="J81" s="46">
        <v>415263.75949423492</v>
      </c>
      <c r="K81" s="46">
        <v>428649.1226140433</v>
      </c>
      <c r="L81" s="46">
        <v>442490.1108252157</v>
      </c>
      <c r="M81" s="46">
        <v>456807.23900405533</v>
      </c>
      <c r="N81" s="46">
        <v>471551.80332292512</v>
      </c>
      <c r="O81" s="46">
        <v>486657.28755706525</v>
      </c>
      <c r="P81" s="46">
        <v>502295.18830768205</v>
      </c>
      <c r="Q81" s="46">
        <v>518481.6789485084</v>
      </c>
      <c r="R81" s="46">
        <v>535220.01793182548</v>
      </c>
      <c r="S81" s="46">
        <v>552531.27732078894</v>
      </c>
      <c r="T81" s="46">
        <v>570311.10986417427</v>
      </c>
      <c r="U81" s="46">
        <v>733935.06844124733</v>
      </c>
      <c r="V81" s="46">
        <v>757609.71615373809</v>
      </c>
      <c r="W81" s="46">
        <v>782088.16276691714</v>
      </c>
      <c r="X81" s="46">
        <v>807216.36198764422</v>
      </c>
      <c r="Y81" s="46">
        <v>833194.81827346038</v>
      </c>
      <c r="Z81" s="46">
        <v>860071.5118484078</v>
      </c>
      <c r="AA81" s="46">
        <v>887852.69863443868</v>
      </c>
      <c r="AB81" s="46">
        <v>916366.85713198595</v>
      </c>
      <c r="AC81" s="46">
        <v>945885.06125832582</v>
      </c>
      <c r="AD81" s="46">
        <v>976413.24455574597</v>
      </c>
      <c r="AE81" s="46">
        <v>1007856.9822506463</v>
      </c>
      <c r="AF81" s="46">
        <v>1040285.1977802686</v>
      </c>
      <c r="AG81" s="46">
        <v>1073836.9466588735</v>
      </c>
      <c r="AH81" s="46">
        <v>1108468.0336775747</v>
      </c>
      <c r="AI81" s="46">
        <v>1144115.9864187511</v>
      </c>
      <c r="AJ81" s="46">
        <v>1181003.9371656221</v>
      </c>
      <c r="AK81" s="46">
        <v>1219097.7155381753</v>
      </c>
      <c r="AL81" s="46">
        <v>1258307.3326511492</v>
      </c>
      <c r="AM81" s="46">
        <v>1298879.557410277</v>
      </c>
      <c r="AN81" s="46">
        <v>1340746.1589172173</v>
      </c>
      <c r="AO81" s="46">
        <v>1383894.5314925527</v>
      </c>
      <c r="AP81" s="46">
        <v>1428534.6590681516</v>
      </c>
      <c r="AQ81" s="46">
        <v>1474525.9100827882</v>
      </c>
      <c r="AR81" s="46">
        <v>1522029.4136039286</v>
      </c>
      <c r="AS81" s="46">
        <v>1571130.4424307812</v>
      </c>
      <c r="AT81" s="46">
        <v>1621676.6775600861</v>
      </c>
      <c r="AU81" s="46">
        <v>1673976.3264443318</v>
      </c>
    </row>
    <row r="82" spans="1:47">
      <c r="A82" s="64" t="s">
        <v>71</v>
      </c>
      <c r="H82" s="46">
        <v>130845.60291924028</v>
      </c>
      <c r="I82" s="46">
        <v>132154.05894843268</v>
      </c>
      <c r="J82" s="46">
        <v>133475.59953791701</v>
      </c>
      <c r="K82" s="46">
        <v>134810.35553329618</v>
      </c>
      <c r="L82" s="46">
        <v>136158.45908862914</v>
      </c>
      <c r="M82" s="46">
        <v>137520.04367951545</v>
      </c>
      <c r="N82" s="46">
        <v>138895.24411631061</v>
      </c>
      <c r="O82" s="46">
        <v>140284.19655747371</v>
      </c>
      <c r="P82" s="46">
        <v>141687.03852304845</v>
      </c>
      <c r="Q82" s="46">
        <v>143103.90890827891</v>
      </c>
      <c r="R82" s="46">
        <v>144534.94799736171</v>
      </c>
      <c r="S82" s="46">
        <v>145980.29747733532</v>
      </c>
      <c r="T82" s="46">
        <v>147440.10045210869</v>
      </c>
      <c r="U82" s="46">
        <v>0</v>
      </c>
      <c r="V82" s="46">
        <v>0</v>
      </c>
      <c r="W82" s="46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46">
        <v>0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  <c r="AR82" s="46">
        <v>0</v>
      </c>
      <c r="AS82" s="46">
        <v>0</v>
      </c>
      <c r="AT82" s="46">
        <v>0</v>
      </c>
      <c r="AU82" s="46">
        <v>0</v>
      </c>
    </row>
    <row r="83" spans="1:47">
      <c r="A83" s="64" t="s">
        <v>72</v>
      </c>
      <c r="H83" s="46">
        <v>402102.40397120756</v>
      </c>
      <c r="I83" s="46">
        <v>418297.94848717772</v>
      </c>
      <c r="J83" s="46">
        <v>435194.2648994301</v>
      </c>
      <c r="K83" s="46">
        <v>452829.62929933472</v>
      </c>
      <c r="L83" s="46">
        <v>470982.94150415447</v>
      </c>
      <c r="M83" s="46">
        <v>489910.81113303569</v>
      </c>
      <c r="N83" s="46">
        <v>509674.19969453488</v>
      </c>
      <c r="O83" s="46">
        <v>530290.00452109415</v>
      </c>
      <c r="P83" s="46">
        <v>551617.63829829684</v>
      </c>
      <c r="Q83" s="46">
        <v>573787.86719406932</v>
      </c>
      <c r="R83" s="46">
        <v>596935.80992390879</v>
      </c>
      <c r="S83" s="46">
        <v>621082.45212881523</v>
      </c>
      <c r="T83" s="46">
        <v>646015.74854787521</v>
      </c>
      <c r="U83" s="46">
        <v>817390.10091145849</v>
      </c>
      <c r="V83" s="46">
        <v>850365.18932915246</v>
      </c>
      <c r="W83" s="46">
        <v>884570.08234452247</v>
      </c>
      <c r="X83" s="46">
        <v>920274.40163058415</v>
      </c>
      <c r="Y83" s="46">
        <v>957317.36505792022</v>
      </c>
      <c r="Z83" s="46">
        <v>995900.58871861536</v>
      </c>
      <c r="AA83" s="46">
        <v>1036068.4876036544</v>
      </c>
      <c r="AB83" s="46">
        <v>1077771.4460100038</v>
      </c>
      <c r="AC83" s="46">
        <v>1121288.6557795301</v>
      </c>
      <c r="AD83" s="46">
        <v>1166386.2003498496</v>
      </c>
      <c r="AE83" s="46">
        <v>1213462.8248831853</v>
      </c>
      <c r="AF83" s="46">
        <v>1262291.2666182965</v>
      </c>
      <c r="AG83" s="46">
        <v>1313231.5184501014</v>
      </c>
      <c r="AH83" s="46">
        <v>1366081.9464106318</v>
      </c>
      <c r="AI83" s="46">
        <v>1421206.0296933337</v>
      </c>
      <c r="AJ83" s="46">
        <v>1478412.0512027605</v>
      </c>
      <c r="AK83" s="46">
        <v>1538018.3794090669</v>
      </c>
      <c r="AL83" s="46">
        <v>1599990.6477031698</v>
      </c>
      <c r="AM83" s="46">
        <v>1664450.8983093686</v>
      </c>
      <c r="AN83" s="46">
        <v>1731590.4922050512</v>
      </c>
      <c r="AO83" s="46">
        <v>1801312.2808533884</v>
      </c>
      <c r="AP83" s="46">
        <v>1873905.5113835623</v>
      </c>
      <c r="AQ83" s="46">
        <v>1949477.351315401</v>
      </c>
      <c r="AR83" s="46">
        <v>2027989.3754623984</v>
      </c>
      <c r="AS83" s="46">
        <v>2109704.2467045942</v>
      </c>
      <c r="AT83" s="46">
        <v>2194748.6815903978</v>
      </c>
      <c r="AU83" s="46">
        <v>2283221.5988926538</v>
      </c>
    </row>
    <row r="84" spans="1:47">
      <c r="A84" s="64" t="s">
        <v>73</v>
      </c>
      <c r="H84" s="46">
        <v>130845.60291924028</v>
      </c>
      <c r="I84" s="46">
        <v>132154.05894843268</v>
      </c>
      <c r="J84" s="46">
        <v>133475.59953791701</v>
      </c>
      <c r="K84" s="46">
        <v>134810.35553329618</v>
      </c>
      <c r="L84" s="46">
        <v>136158.45908862914</v>
      </c>
      <c r="M84" s="46">
        <v>137520.04367951545</v>
      </c>
      <c r="N84" s="46">
        <v>138895.24411631061</v>
      </c>
      <c r="O84" s="46">
        <v>140284.19655747371</v>
      </c>
      <c r="P84" s="46">
        <v>141687.03852304845</v>
      </c>
      <c r="Q84" s="46">
        <v>143103.90890827891</v>
      </c>
      <c r="R84" s="46">
        <v>144534.94799736171</v>
      </c>
      <c r="S84" s="46">
        <v>145980.29747733532</v>
      </c>
      <c r="T84" s="46">
        <v>147440.10045210869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6">
        <v>0</v>
      </c>
      <c r="AS84" s="46">
        <v>0</v>
      </c>
      <c r="AT84" s="46">
        <v>0</v>
      </c>
      <c r="AU84" s="46">
        <v>0</v>
      </c>
    </row>
    <row r="86" spans="1:47">
      <c r="A86" s="64" t="s">
        <v>74</v>
      </c>
      <c r="H86" s="46">
        <v>386826.02946264914</v>
      </c>
      <c r="I86" s="46">
        <v>398433.74266233487</v>
      </c>
      <c r="J86" s="46">
        <v>410422.04500266211</v>
      </c>
      <c r="K86" s="46">
        <v>422804.61954637407</v>
      </c>
      <c r="L86" s="46">
        <v>436142.75457709772</v>
      </c>
      <c r="M86" s="46">
        <v>449117.10005606199</v>
      </c>
      <c r="N86" s="46">
        <v>462517.59590378584</v>
      </c>
      <c r="O86" s="46">
        <v>476368.2856776808</v>
      </c>
      <c r="P86" s="46">
        <v>490672.12917107029</v>
      </c>
      <c r="Q86" s="46">
        <v>505446.20552339708</v>
      </c>
      <c r="R86" s="46">
        <v>520705.5187094594</v>
      </c>
      <c r="S86" s="46">
        <v>536883.35485158965</v>
      </c>
      <c r="T86" s="46">
        <v>552905.44266966369</v>
      </c>
      <c r="U86" s="46">
        <v>569465.50058294449</v>
      </c>
      <c r="V86" s="46">
        <v>589486.71325267525</v>
      </c>
      <c r="W86" s="46">
        <v>610214.41707008181</v>
      </c>
      <c r="X86" s="46">
        <v>631658.36457701202</v>
      </c>
      <c r="Y86" s="46">
        <v>653824.42043212452</v>
      </c>
      <c r="Z86" s="46">
        <v>676609.94902666262</v>
      </c>
      <c r="AA86" s="46">
        <v>700058.17410576111</v>
      </c>
      <c r="AB86" s="46">
        <v>724320.764649363</v>
      </c>
      <c r="AC86" s="46">
        <v>749398.99868191266</v>
      </c>
      <c r="AD86" s="46">
        <v>775222.21285365405</v>
      </c>
      <c r="AE86" s="46">
        <v>801766.85654228833</v>
      </c>
      <c r="AF86" s="46">
        <v>829229.64755147789</v>
      </c>
      <c r="AG86" s="46">
        <v>857610.65911005251</v>
      </c>
      <c r="AH86" s="46">
        <v>886794.19118494471</v>
      </c>
      <c r="AI86" s="46">
        <v>916862.39315736084</v>
      </c>
      <c r="AJ86" s="46">
        <v>947954.93046326912</v>
      </c>
      <c r="AK86" s="46">
        <v>980078.69450183818</v>
      </c>
      <c r="AL86" s="46">
        <v>1013011.3215231982</v>
      </c>
      <c r="AM86" s="46">
        <v>1047077.6806312115</v>
      </c>
      <c r="AN86" s="46">
        <v>1082279.8605113488</v>
      </c>
      <c r="AO86" s="46">
        <v>1118459.4495765856</v>
      </c>
      <c r="AP86" s="46">
        <v>1155792.9906935086</v>
      </c>
      <c r="AQ86" s="46">
        <v>1194375.6182047767</v>
      </c>
      <c r="AR86" s="46">
        <v>1234068.7374594915</v>
      </c>
      <c r="AS86" s="46">
        <v>1274996.7290584648</v>
      </c>
      <c r="AT86" s="46">
        <v>1317291.5011327651</v>
      </c>
      <c r="AU86" s="46">
        <v>1360795.2538859728</v>
      </c>
    </row>
    <row r="87" spans="1:47">
      <c r="A87" s="64" t="s">
        <v>75</v>
      </c>
      <c r="H87" s="46">
        <v>130845.60291924028</v>
      </c>
      <c r="I87" s="46">
        <v>132154.05894843268</v>
      </c>
      <c r="J87" s="46">
        <v>133475.59953791701</v>
      </c>
      <c r="K87" s="46">
        <v>134810.35553329618</v>
      </c>
      <c r="L87" s="46">
        <v>136158.45908862914</v>
      </c>
      <c r="M87" s="46">
        <v>137520.04367951545</v>
      </c>
      <c r="N87" s="46">
        <v>138895.24411631061</v>
      </c>
      <c r="O87" s="46">
        <v>140284.19655747371</v>
      </c>
      <c r="P87" s="46">
        <v>141687.03852304845</v>
      </c>
      <c r="Q87" s="46">
        <v>143103.90890827891</v>
      </c>
      <c r="R87" s="46">
        <v>144534.94799736171</v>
      </c>
      <c r="S87" s="46">
        <v>145980.29747733532</v>
      </c>
      <c r="T87" s="46">
        <v>147440.10045210869</v>
      </c>
      <c r="U87" s="46">
        <v>148914.50145662978</v>
      </c>
      <c r="V87" s="46">
        <v>150403.64647119609</v>
      </c>
      <c r="W87" s="46">
        <v>151907.68293590803</v>
      </c>
      <c r="X87" s="46">
        <v>153426.75976526711</v>
      </c>
      <c r="Y87" s="46">
        <v>154961.02736291979</v>
      </c>
      <c r="Z87" s="46">
        <v>156510.63763654899</v>
      </c>
      <c r="AA87" s="46">
        <v>158075.74401291448</v>
      </c>
      <c r="AB87" s="46">
        <v>159656.5014530436</v>
      </c>
      <c r="AC87" s="46">
        <v>161253.06646757404</v>
      </c>
      <c r="AD87" s="46">
        <v>162865.59713224979</v>
      </c>
      <c r="AE87" s="46">
        <v>164494.25310357229</v>
      </c>
      <c r="AF87" s="46">
        <v>166139.19563460801</v>
      </c>
      <c r="AG87" s="46">
        <v>167800.58759095409</v>
      </c>
      <c r="AH87" s="46">
        <v>169478.59346686362</v>
      </c>
      <c r="AI87" s="46">
        <v>171173.37940153229</v>
      </c>
      <c r="AJ87" s="46">
        <v>172885.1131955476</v>
      </c>
      <c r="AK87" s="46">
        <v>174613.96432750308</v>
      </c>
      <c r="AL87" s="46">
        <v>176360.10397077812</v>
      </c>
      <c r="AM87" s="46">
        <v>178123.70501048589</v>
      </c>
      <c r="AN87" s="46">
        <v>179904.94206059078</v>
      </c>
      <c r="AO87" s="46">
        <v>181703.99148119666</v>
      </c>
      <c r="AP87" s="46">
        <v>183521.03139600862</v>
      </c>
      <c r="AQ87" s="46">
        <v>185356.24170996872</v>
      </c>
      <c r="AR87" s="46">
        <v>187209.8041270684</v>
      </c>
      <c r="AS87" s="46">
        <v>189081.90216833906</v>
      </c>
      <c r="AT87" s="46">
        <v>190972.72119002248</v>
      </c>
      <c r="AU87" s="46">
        <v>192882.44840192268</v>
      </c>
    </row>
    <row r="88" spans="1:47">
      <c r="A88" s="64" t="s">
        <v>76</v>
      </c>
      <c r="H88" s="46">
        <v>389836.6291501465</v>
      </c>
      <c r="I88" s="46">
        <v>402329.63975965662</v>
      </c>
      <c r="J88" s="46">
        <v>415263.75949423492</v>
      </c>
      <c r="K88" s="46">
        <v>428649.1226140433</v>
      </c>
      <c r="L88" s="46">
        <v>442490.1108252157</v>
      </c>
      <c r="M88" s="46">
        <v>456807.23900405533</v>
      </c>
      <c r="N88" s="46">
        <v>471551.80332292512</v>
      </c>
      <c r="O88" s="46">
        <v>486657.28755706525</v>
      </c>
      <c r="P88" s="46">
        <v>502295.18830768205</v>
      </c>
      <c r="Q88" s="46">
        <v>518481.6789485084</v>
      </c>
      <c r="R88" s="46">
        <v>535220.01793182548</v>
      </c>
      <c r="S88" s="46">
        <v>552531.27732078894</v>
      </c>
      <c r="T88" s="46">
        <v>570311.10986417427</v>
      </c>
      <c r="U88" s="46">
        <v>588613.52826739405</v>
      </c>
      <c r="V88" s="46">
        <v>610793.8598087912</v>
      </c>
      <c r="W88" s="46">
        <v>633781.1474347848</v>
      </c>
      <c r="X88" s="46">
        <v>657560.64802547451</v>
      </c>
      <c r="Y88" s="46">
        <v>681969.95567413839</v>
      </c>
      <c r="Z88" s="46">
        <v>707293.86482399632</v>
      </c>
      <c r="AA88" s="46">
        <v>733531.74138162797</v>
      </c>
      <c r="AB88" s="46">
        <v>760606.42832447216</v>
      </c>
      <c r="AC88" s="46">
        <v>788500.96408269031</v>
      </c>
      <c r="AD88" s="46">
        <v>817422.47282257839</v>
      </c>
      <c r="AE88" s="46">
        <v>847376.45476282365</v>
      </c>
      <c r="AF88" s="46">
        <v>878153.07682342175</v>
      </c>
      <c r="AG88" s="46">
        <v>910039.51303854468</v>
      </c>
      <c r="AH88" s="46">
        <v>943067.52591746557</v>
      </c>
      <c r="AI88" s="46">
        <v>977080.19211977185</v>
      </c>
      <c r="AJ88" s="46">
        <v>1012247.5892239283</v>
      </c>
      <c r="AK88" s="46">
        <v>1048676.4205571238</v>
      </c>
      <c r="AL88" s="46">
        <v>1086206.081643729</v>
      </c>
      <c r="AM88" s="46">
        <v>1125008.3299440849</v>
      </c>
      <c r="AN88" s="46">
        <v>1165194.5060541525</v>
      </c>
      <c r="AO88" s="46">
        <v>1206563.7841220852</v>
      </c>
      <c r="AP88" s="46">
        <v>1249388.3430341105</v>
      </c>
      <c r="AQ88" s="46">
        <v>1293678.9826005013</v>
      </c>
      <c r="AR88" s="46">
        <v>1339303.4217182943</v>
      </c>
      <c r="AS88" s="46">
        <v>1386569.0872569294</v>
      </c>
      <c r="AT88" s="46">
        <v>1435305.1800005282</v>
      </c>
      <c r="AU88" s="46">
        <v>1485693.977091867</v>
      </c>
    </row>
    <row r="89" spans="1:47">
      <c r="A89" s="64" t="s">
        <v>77</v>
      </c>
      <c r="H89" s="46">
        <v>130845.60291924028</v>
      </c>
      <c r="I89" s="46">
        <v>132154.05894843268</v>
      </c>
      <c r="J89" s="46">
        <v>133475.59953791701</v>
      </c>
      <c r="K89" s="46">
        <v>134810.35553329618</v>
      </c>
      <c r="L89" s="46">
        <v>136158.45908862914</v>
      </c>
      <c r="M89" s="46">
        <v>137520.04367951545</v>
      </c>
      <c r="N89" s="46">
        <v>138895.24411631061</v>
      </c>
      <c r="O89" s="46">
        <v>140284.19655747371</v>
      </c>
      <c r="P89" s="46">
        <v>141687.03852304845</v>
      </c>
      <c r="Q89" s="46">
        <v>143103.90890827891</v>
      </c>
      <c r="R89" s="46">
        <v>144534.94799736171</v>
      </c>
      <c r="S89" s="46">
        <v>145980.29747733532</v>
      </c>
      <c r="T89" s="46">
        <v>147440.10045210869</v>
      </c>
      <c r="U89" s="46">
        <v>148914.50145662978</v>
      </c>
      <c r="V89" s="46">
        <v>150403.64647119609</v>
      </c>
      <c r="W89" s="46">
        <v>151907.68293590803</v>
      </c>
      <c r="X89" s="46">
        <v>153426.75976526711</v>
      </c>
      <c r="Y89" s="46">
        <v>154961.02736291979</v>
      </c>
      <c r="Z89" s="46">
        <v>156510.63763654899</v>
      </c>
      <c r="AA89" s="46">
        <v>158075.74401291448</v>
      </c>
      <c r="AB89" s="46">
        <v>159656.5014530436</v>
      </c>
      <c r="AC89" s="46">
        <v>161253.06646757404</v>
      </c>
      <c r="AD89" s="46">
        <v>162865.59713224979</v>
      </c>
      <c r="AE89" s="46">
        <v>164494.25310357229</v>
      </c>
      <c r="AF89" s="46">
        <v>166139.19563460801</v>
      </c>
      <c r="AG89" s="46">
        <v>167800.58759095409</v>
      </c>
      <c r="AH89" s="46">
        <v>169478.59346686362</v>
      </c>
      <c r="AI89" s="46">
        <v>171173.37940153229</v>
      </c>
      <c r="AJ89" s="46">
        <v>172885.1131955476</v>
      </c>
      <c r="AK89" s="46">
        <v>174613.96432750308</v>
      </c>
      <c r="AL89" s="46">
        <v>176360.10397077812</v>
      </c>
      <c r="AM89" s="46">
        <v>178123.70501048589</v>
      </c>
      <c r="AN89" s="46">
        <v>179904.94206059078</v>
      </c>
      <c r="AO89" s="46">
        <v>181703.99148119666</v>
      </c>
      <c r="AP89" s="46">
        <v>183521.03139600862</v>
      </c>
      <c r="AQ89" s="46">
        <v>185356.24170996872</v>
      </c>
      <c r="AR89" s="46">
        <v>187209.8041270684</v>
      </c>
      <c r="AS89" s="46">
        <v>189081.90216833906</v>
      </c>
      <c r="AT89" s="46">
        <v>190972.72119002248</v>
      </c>
      <c r="AU89" s="46">
        <v>192882.44840192268</v>
      </c>
    </row>
    <row r="90" spans="1:47">
      <c r="A90" s="64" t="s">
        <v>78</v>
      </c>
      <c r="H90" s="46">
        <v>402102.40397120756</v>
      </c>
      <c r="I90" s="46">
        <v>418297.94848717772</v>
      </c>
      <c r="J90" s="46">
        <v>435194.2648994301</v>
      </c>
      <c r="K90" s="46">
        <v>452829.62929933472</v>
      </c>
      <c r="L90" s="46">
        <v>470982.94150415447</v>
      </c>
      <c r="M90" s="46">
        <v>489910.81113303569</v>
      </c>
      <c r="N90" s="46">
        <v>509674.19969453488</v>
      </c>
      <c r="O90" s="46">
        <v>530290.00452109415</v>
      </c>
      <c r="P90" s="46">
        <v>551617.63829829684</v>
      </c>
      <c r="Q90" s="46">
        <v>573787.86719406932</v>
      </c>
      <c r="R90" s="46">
        <v>596935.80992390879</v>
      </c>
      <c r="S90" s="46">
        <v>621082.45212881523</v>
      </c>
      <c r="T90" s="46">
        <v>646015.74854787521</v>
      </c>
      <c r="U90" s="46">
        <v>672028.47658940475</v>
      </c>
      <c r="V90" s="46">
        <v>703595.45648245933</v>
      </c>
      <c r="W90" s="46">
        <v>736323.84868974483</v>
      </c>
      <c r="X90" s="46">
        <v>770497.30806505505</v>
      </c>
      <c r="Y90" s="46">
        <v>806137.26862165029</v>
      </c>
      <c r="Z90" s="46">
        <v>843130.40537704667</v>
      </c>
      <c r="AA90" s="46">
        <v>881815.57099331892</v>
      </c>
      <c r="AB90" s="46">
        <v>921948.78636347188</v>
      </c>
      <c r="AC90" s="46">
        <v>963868.03821935924</v>
      </c>
      <c r="AD90" s="46">
        <v>1007443.4017311736</v>
      </c>
      <c r="AE90" s="46">
        <v>1052880.5871239223</v>
      </c>
      <c r="AF90" s="46">
        <v>1100156.6791696115</v>
      </c>
      <c r="AG90" s="46">
        <v>1149423.5916340332</v>
      </c>
      <c r="AH90" s="46">
        <v>1200682.6240863558</v>
      </c>
      <c r="AI90" s="46">
        <v>1254117.2597274163</v>
      </c>
      <c r="AJ90" s="46">
        <v>1309675.3280491033</v>
      </c>
      <c r="AK90" s="46">
        <v>1367642.4096469809</v>
      </c>
      <c r="AL90" s="46">
        <v>1427846.1398520551</v>
      </c>
      <c r="AM90" s="46">
        <v>1490629.9215660007</v>
      </c>
      <c r="AN90" s="46">
        <v>1555971.618778137</v>
      </c>
      <c r="AO90" s="46">
        <v>1623962.895311289</v>
      </c>
      <c r="AP90" s="46">
        <v>1694824.0839903166</v>
      </c>
      <c r="AQ90" s="46">
        <v>1768539.7572353184</v>
      </c>
      <c r="AR90" s="46">
        <v>1845261.7385436189</v>
      </c>
      <c r="AS90" s="46">
        <v>1925177.9872183101</v>
      </c>
      <c r="AT90" s="46">
        <v>2008401.8665924738</v>
      </c>
      <c r="AU90" s="46">
        <v>2094941.9591816603</v>
      </c>
    </row>
    <row r="91" spans="1:47">
      <c r="A91" s="64" t="s">
        <v>79</v>
      </c>
      <c r="H91" s="46">
        <v>130845.60291924028</v>
      </c>
      <c r="I91" s="46">
        <v>132154.05894843268</v>
      </c>
      <c r="J91" s="46">
        <v>133475.59953791701</v>
      </c>
      <c r="K91" s="46">
        <v>134810.35553329618</v>
      </c>
      <c r="L91" s="46">
        <v>136158.45908862914</v>
      </c>
      <c r="M91" s="46">
        <v>137520.04367951545</v>
      </c>
      <c r="N91" s="46">
        <v>138895.24411631061</v>
      </c>
      <c r="O91" s="46">
        <v>140284.19655747371</v>
      </c>
      <c r="P91" s="46">
        <v>141687.03852304845</v>
      </c>
      <c r="Q91" s="46">
        <v>143103.90890827891</v>
      </c>
      <c r="R91" s="46">
        <v>144534.94799736171</v>
      </c>
      <c r="S91" s="46">
        <v>145980.29747733532</v>
      </c>
      <c r="T91" s="46">
        <v>147440.10045210869</v>
      </c>
      <c r="U91" s="46">
        <v>148914.50145662978</v>
      </c>
      <c r="V91" s="46">
        <v>150403.64647119609</v>
      </c>
      <c r="W91" s="46">
        <v>151907.68293590803</v>
      </c>
      <c r="X91" s="46">
        <v>153426.75976526711</v>
      </c>
      <c r="Y91" s="46">
        <v>154961.02736291979</v>
      </c>
      <c r="Z91" s="46">
        <v>156510.63763654899</v>
      </c>
      <c r="AA91" s="46">
        <v>158075.74401291448</v>
      </c>
      <c r="AB91" s="46">
        <v>159656.5014530436</v>
      </c>
      <c r="AC91" s="46">
        <v>161253.06646757404</v>
      </c>
      <c r="AD91" s="46">
        <v>162865.59713224979</v>
      </c>
      <c r="AE91" s="46">
        <v>164494.25310357229</v>
      </c>
      <c r="AF91" s="46">
        <v>166139.19563460801</v>
      </c>
      <c r="AG91" s="46">
        <v>167800.58759095409</v>
      </c>
      <c r="AH91" s="46">
        <v>169478.59346686362</v>
      </c>
      <c r="AI91" s="46">
        <v>171173.37940153229</v>
      </c>
      <c r="AJ91" s="46">
        <v>172885.1131955476</v>
      </c>
      <c r="AK91" s="46">
        <v>174613.96432750308</v>
      </c>
      <c r="AL91" s="46">
        <v>176360.10397077812</v>
      </c>
      <c r="AM91" s="46">
        <v>178123.70501048589</v>
      </c>
      <c r="AN91" s="46">
        <v>179904.94206059078</v>
      </c>
      <c r="AO91" s="46">
        <v>181703.99148119666</v>
      </c>
      <c r="AP91" s="46">
        <v>183521.03139600862</v>
      </c>
      <c r="AQ91" s="46">
        <v>185356.24170996872</v>
      </c>
      <c r="AR91" s="46">
        <v>187209.8041270684</v>
      </c>
      <c r="AS91" s="46">
        <v>189081.90216833906</v>
      </c>
      <c r="AT91" s="46">
        <v>190972.72119002248</v>
      </c>
      <c r="AU91" s="46">
        <v>192882.44840192268</v>
      </c>
    </row>
    <row r="93" spans="1:47">
      <c r="A93" s="38" t="s">
        <v>61</v>
      </c>
      <c r="C93" s="26" t="str">
        <f>C27</f>
        <v>M</v>
      </c>
      <c r="D93">
        <f>D27</f>
        <v>2023</v>
      </c>
      <c r="H93" s="69">
        <f>IF($C$93="S",0,IF($D93=H$5,12%,0))</f>
        <v>0</v>
      </c>
      <c r="I93" s="69">
        <f t="shared" ref="I93:AU93" si="122">IF($C$93="S",0,IF(H93&lt;&gt;0,H93,IF($D93=I$5,12%,0)))</f>
        <v>0</v>
      </c>
      <c r="J93" s="69">
        <f t="shared" si="122"/>
        <v>0</v>
      </c>
      <c r="K93" s="69">
        <f t="shared" si="122"/>
        <v>0</v>
      </c>
      <c r="L93" s="69">
        <f t="shared" si="122"/>
        <v>0</v>
      </c>
      <c r="M93" s="69">
        <f t="shared" si="122"/>
        <v>0</v>
      </c>
      <c r="N93" s="69">
        <f t="shared" si="122"/>
        <v>0</v>
      </c>
      <c r="O93" s="69">
        <f t="shared" si="122"/>
        <v>0.12</v>
      </c>
      <c r="P93" s="69">
        <f t="shared" si="122"/>
        <v>0.12</v>
      </c>
      <c r="Q93" s="69">
        <f t="shared" si="122"/>
        <v>0.12</v>
      </c>
      <c r="R93" s="69">
        <f t="shared" si="122"/>
        <v>0.12</v>
      </c>
      <c r="S93" s="69">
        <f t="shared" si="122"/>
        <v>0.12</v>
      </c>
      <c r="T93" s="69">
        <f t="shared" si="122"/>
        <v>0.12</v>
      </c>
      <c r="U93" s="69">
        <f t="shared" si="122"/>
        <v>0.12</v>
      </c>
      <c r="V93" s="69">
        <f t="shared" si="122"/>
        <v>0.12</v>
      </c>
      <c r="W93" s="69">
        <f t="shared" si="122"/>
        <v>0.12</v>
      </c>
      <c r="X93" s="69">
        <f t="shared" si="122"/>
        <v>0.12</v>
      </c>
      <c r="Y93" s="69">
        <f t="shared" si="122"/>
        <v>0.12</v>
      </c>
      <c r="Z93" s="69">
        <f t="shared" si="122"/>
        <v>0.12</v>
      </c>
      <c r="AA93" s="69">
        <f t="shared" si="122"/>
        <v>0.12</v>
      </c>
      <c r="AB93" s="69">
        <f t="shared" si="122"/>
        <v>0.12</v>
      </c>
      <c r="AC93" s="69">
        <f t="shared" si="122"/>
        <v>0.12</v>
      </c>
      <c r="AD93" s="69">
        <f t="shared" si="122"/>
        <v>0.12</v>
      </c>
      <c r="AE93" s="69">
        <f t="shared" si="122"/>
        <v>0.12</v>
      </c>
      <c r="AF93" s="69">
        <f t="shared" si="122"/>
        <v>0.12</v>
      </c>
      <c r="AG93" s="69">
        <f t="shared" si="122"/>
        <v>0.12</v>
      </c>
      <c r="AH93" s="69">
        <f t="shared" si="122"/>
        <v>0.12</v>
      </c>
      <c r="AI93" s="69">
        <f t="shared" si="122"/>
        <v>0.12</v>
      </c>
      <c r="AJ93" s="69">
        <f t="shared" si="122"/>
        <v>0.12</v>
      </c>
      <c r="AK93" s="69">
        <f t="shared" si="122"/>
        <v>0.12</v>
      </c>
      <c r="AL93" s="69">
        <f t="shared" si="122"/>
        <v>0.12</v>
      </c>
      <c r="AM93" s="69">
        <f t="shared" si="122"/>
        <v>0.12</v>
      </c>
      <c r="AN93" s="69">
        <f t="shared" si="122"/>
        <v>0.12</v>
      </c>
      <c r="AO93" s="69">
        <f t="shared" si="122"/>
        <v>0.12</v>
      </c>
      <c r="AP93" s="69">
        <f t="shared" si="122"/>
        <v>0.12</v>
      </c>
      <c r="AQ93" s="69">
        <f t="shared" si="122"/>
        <v>0.12</v>
      </c>
      <c r="AR93" s="69">
        <f t="shared" si="122"/>
        <v>0.12</v>
      </c>
      <c r="AS93" s="69">
        <f t="shared" si="122"/>
        <v>0.12</v>
      </c>
      <c r="AT93" s="69">
        <f t="shared" si="122"/>
        <v>0.12</v>
      </c>
      <c r="AU93" s="69">
        <f t="shared" si="122"/>
        <v>0.12</v>
      </c>
    </row>
    <row r="94" spans="1:47">
      <c r="A94" s="38" t="s">
        <v>62</v>
      </c>
      <c r="C94" s="26" t="str">
        <f>C28</f>
        <v>M</v>
      </c>
      <c r="D94">
        <f>D28</f>
        <v>2030</v>
      </c>
      <c r="H94" s="69">
        <f>IF($C$94="S",0,IF($D94=H$5,9%,0))</f>
        <v>0</v>
      </c>
      <c r="I94" s="69">
        <f t="shared" ref="I94:AU94" si="123">IF($C$94="S",0,IF(H94&lt;&gt;0,H94,IF($D94=I$5,9%,0)))</f>
        <v>0</v>
      </c>
      <c r="J94" s="69">
        <f t="shared" si="123"/>
        <v>0</v>
      </c>
      <c r="K94" s="69">
        <f t="shared" si="123"/>
        <v>0</v>
      </c>
      <c r="L94" s="69">
        <f t="shared" si="123"/>
        <v>0</v>
      </c>
      <c r="M94" s="69">
        <f t="shared" si="123"/>
        <v>0</v>
      </c>
      <c r="N94" s="69">
        <f t="shared" si="123"/>
        <v>0</v>
      </c>
      <c r="O94" s="69">
        <f t="shared" si="123"/>
        <v>0</v>
      </c>
      <c r="P94" s="69">
        <f t="shared" si="123"/>
        <v>0</v>
      </c>
      <c r="Q94" s="69">
        <f t="shared" si="123"/>
        <v>0</v>
      </c>
      <c r="R94" s="69">
        <f t="shared" si="123"/>
        <v>0</v>
      </c>
      <c r="S94" s="69">
        <f t="shared" si="123"/>
        <v>0</v>
      </c>
      <c r="T94" s="69">
        <f t="shared" si="123"/>
        <v>0</v>
      </c>
      <c r="U94" s="69">
        <f t="shared" si="123"/>
        <v>0</v>
      </c>
      <c r="V94" s="69">
        <f t="shared" si="123"/>
        <v>0.09</v>
      </c>
      <c r="W94" s="69">
        <f t="shared" si="123"/>
        <v>0.09</v>
      </c>
      <c r="X94" s="69">
        <f t="shared" si="123"/>
        <v>0.09</v>
      </c>
      <c r="Y94" s="69">
        <f t="shared" si="123"/>
        <v>0.09</v>
      </c>
      <c r="Z94" s="69">
        <f t="shared" si="123"/>
        <v>0.09</v>
      </c>
      <c r="AA94" s="69">
        <f t="shared" si="123"/>
        <v>0.09</v>
      </c>
      <c r="AB94" s="69">
        <f t="shared" si="123"/>
        <v>0.09</v>
      </c>
      <c r="AC94" s="69">
        <f t="shared" si="123"/>
        <v>0.09</v>
      </c>
      <c r="AD94" s="69">
        <f t="shared" si="123"/>
        <v>0.09</v>
      </c>
      <c r="AE94" s="69">
        <f t="shared" si="123"/>
        <v>0.09</v>
      </c>
      <c r="AF94" s="69">
        <f t="shared" si="123"/>
        <v>0.09</v>
      </c>
      <c r="AG94" s="69">
        <f t="shared" si="123"/>
        <v>0.09</v>
      </c>
      <c r="AH94" s="69">
        <f t="shared" si="123"/>
        <v>0.09</v>
      </c>
      <c r="AI94" s="69">
        <f t="shared" si="123"/>
        <v>0.09</v>
      </c>
      <c r="AJ94" s="69">
        <f t="shared" si="123"/>
        <v>0.09</v>
      </c>
      <c r="AK94" s="69">
        <f t="shared" si="123"/>
        <v>0.09</v>
      </c>
      <c r="AL94" s="69">
        <f t="shared" si="123"/>
        <v>0.09</v>
      </c>
      <c r="AM94" s="69">
        <f t="shared" si="123"/>
        <v>0.09</v>
      </c>
      <c r="AN94" s="69">
        <f t="shared" si="123"/>
        <v>0.09</v>
      </c>
      <c r="AO94" s="69">
        <f t="shared" si="123"/>
        <v>0.09</v>
      </c>
      <c r="AP94" s="69">
        <f t="shared" si="123"/>
        <v>0.09</v>
      </c>
      <c r="AQ94" s="69">
        <f t="shared" si="123"/>
        <v>0.09</v>
      </c>
      <c r="AR94" s="69">
        <f t="shared" si="123"/>
        <v>0.09</v>
      </c>
      <c r="AS94" s="69">
        <f t="shared" si="123"/>
        <v>0.09</v>
      </c>
      <c r="AT94" s="69">
        <f t="shared" si="123"/>
        <v>0.09</v>
      </c>
      <c r="AU94" s="69">
        <f t="shared" si="123"/>
        <v>0.09</v>
      </c>
    </row>
    <row r="96" spans="1:47">
      <c r="A96" s="30" t="s">
        <v>81</v>
      </c>
      <c r="B96" t="s">
        <v>80</v>
      </c>
      <c r="C96" s="71">
        <f>IF(B35="A",1.47%,IF(B35="B",1.61%,2.2%))</f>
        <v>1.47E-2</v>
      </c>
      <c r="D96" s="70"/>
      <c r="E96" s="70"/>
      <c r="F96" s="70"/>
      <c r="G96" s="70"/>
      <c r="H96" s="70">
        <f>E108*(1+C96)^5</f>
        <v>20.563722005646781</v>
      </c>
      <c r="I96" s="70">
        <f t="shared" ref="I96:AU96" si="124">H96*(1+$C$96)</f>
        <v>20.866008719129788</v>
      </c>
      <c r="J96" s="70">
        <f t="shared" si="124"/>
        <v>21.172739047300993</v>
      </c>
      <c r="K96" s="70">
        <f t="shared" si="124"/>
        <v>21.483978311296315</v>
      </c>
      <c r="L96" s="70">
        <f t="shared" si="124"/>
        <v>21.79979279247237</v>
      </c>
      <c r="M96" s="70">
        <f t="shared" si="124"/>
        <v>22.120249746521711</v>
      </c>
      <c r="N96" s="70">
        <f t="shared" si="124"/>
        <v>22.445417417795579</v>
      </c>
      <c r="O96" s="70">
        <f t="shared" si="124"/>
        <v>22.775365053837174</v>
      </c>
      <c r="P96" s="70">
        <f t="shared" si="124"/>
        <v>23.11016292012858</v>
      </c>
      <c r="Q96" s="70">
        <f t="shared" si="124"/>
        <v>23.44988231505447</v>
      </c>
      <c r="R96" s="70">
        <f t="shared" si="124"/>
        <v>23.794595585085769</v>
      </c>
      <c r="S96" s="70">
        <f t="shared" si="124"/>
        <v>24.14437614018653</v>
      </c>
      <c r="T96" s="70">
        <f t="shared" si="124"/>
        <v>24.499298469447272</v>
      </c>
      <c r="U96" s="70">
        <f t="shared" si="124"/>
        <v>24.859438156948144</v>
      </c>
      <c r="V96" s="70">
        <f t="shared" si="124"/>
        <v>25.22487189785528</v>
      </c>
      <c r="W96" s="70">
        <f t="shared" si="124"/>
        <v>25.595677514753753</v>
      </c>
      <c r="X96" s="70">
        <f t="shared" si="124"/>
        <v>25.971933974220633</v>
      </c>
      <c r="Y96" s="70">
        <f t="shared" si="124"/>
        <v>26.353721403641675</v>
      </c>
      <c r="Z96" s="70">
        <f t="shared" si="124"/>
        <v>26.741121108275205</v>
      </c>
      <c r="AA96" s="70">
        <f t="shared" si="124"/>
        <v>27.13421558856685</v>
      </c>
      <c r="AB96" s="70">
        <f t="shared" si="124"/>
        <v>27.533088557718781</v>
      </c>
      <c r="AC96" s="70">
        <f t="shared" si="124"/>
        <v>27.937824959517243</v>
      </c>
      <c r="AD96" s="70">
        <f t="shared" si="124"/>
        <v>28.348510986422145</v>
      </c>
      <c r="AE96" s="70">
        <f t="shared" si="124"/>
        <v>28.765234097922548</v>
      </c>
      <c r="AF96" s="70">
        <f t="shared" si="124"/>
        <v>29.188083039162006</v>
      </c>
      <c r="AG96" s="70">
        <f t="shared" si="124"/>
        <v>29.617147859837686</v>
      </c>
      <c r="AH96" s="70">
        <f t="shared" si="124"/>
        <v>30.052519933377297</v>
      </c>
      <c r="AI96" s="70">
        <f t="shared" si="124"/>
        <v>30.494291976397943</v>
      </c>
      <c r="AJ96" s="70">
        <f t="shared" si="124"/>
        <v>30.942558068450989</v>
      </c>
      <c r="AK96" s="70">
        <f t="shared" si="124"/>
        <v>31.397413672057215</v>
      </c>
      <c r="AL96" s="70">
        <f t="shared" si="124"/>
        <v>31.858955653036453</v>
      </c>
      <c r="AM96" s="70">
        <f t="shared" si="124"/>
        <v>32.327282301136087</v>
      </c>
      <c r="AN96" s="70">
        <f t="shared" si="124"/>
        <v>32.802493350962784</v>
      </c>
      <c r="AO96" s="70">
        <f t="shared" si="124"/>
        <v>33.284690003221932</v>
      </c>
      <c r="AP96" s="70">
        <f t="shared" si="124"/>
        <v>33.773974946269291</v>
      </c>
      <c r="AQ96" s="70">
        <f t="shared" si="124"/>
        <v>34.270452377979446</v>
      </c>
      <c r="AR96" s="70">
        <f t="shared" si="124"/>
        <v>34.774228027935742</v>
      </c>
      <c r="AS96" s="70">
        <f t="shared" si="124"/>
        <v>35.285409179946392</v>
      </c>
      <c r="AT96" s="70">
        <f t="shared" si="124"/>
        <v>35.804104694891599</v>
      </c>
      <c r="AU96" s="70">
        <f t="shared" si="124"/>
        <v>36.330425033906501</v>
      </c>
    </row>
    <row r="97" spans="1:47">
      <c r="A97" t="s">
        <v>82</v>
      </c>
      <c r="H97" s="24">
        <f>H96*H100*12</f>
        <v>568182.77446304669</v>
      </c>
      <c r="I97" s="77">
        <f t="shared" ref="I97:J97" si="125">I96*I100*12</f>
        <v>582300.41186012991</v>
      </c>
      <c r="J97" s="77">
        <f t="shared" si="125"/>
        <v>596768.83019361855</v>
      </c>
      <c r="K97" s="77">
        <f>K96*K100*12</f>
        <v>611596.74531743932</v>
      </c>
      <c r="L97" s="77">
        <f t="shared" ref="L97:M97" si="126">L96*L100*12</f>
        <v>626793.08964834176</v>
      </c>
      <c r="M97" s="77">
        <f t="shared" si="126"/>
        <v>642367.01754683396</v>
      </c>
      <c r="N97" s="77">
        <f t="shared" ref="N97" si="127">N96*N100*12</f>
        <v>658327.91083181999</v>
      </c>
      <c r="O97" s="77">
        <f t="shared" ref="O97:P97" si="128">O96*O100*12</f>
        <v>674685.3844322582</v>
      </c>
      <c r="P97" s="77">
        <f t="shared" si="128"/>
        <v>691449.29217924643</v>
      </c>
      <c r="Q97" s="77">
        <f t="shared" ref="Q97:R97" si="129">Q96*Q100*12</f>
        <v>708629.73274202424</v>
      </c>
      <c r="R97" s="77">
        <f t="shared" si="129"/>
        <v>726237.05571146531</v>
      </c>
      <c r="S97" s="77">
        <f t="shared" ref="S97" si="130">S96*S100*12</f>
        <v>744281.86783472798</v>
      </c>
      <c r="T97" s="77">
        <f t="shared" ref="T97:U97" si="131">T96*T100*12</f>
        <v>762775.03940481739</v>
      </c>
      <c r="U97" s="77">
        <f t="shared" si="131"/>
        <v>781727.71080890892</v>
      </c>
      <c r="V97" s="77">
        <f t="shared" ref="V97:W97" si="132">V96*V100*12</f>
        <v>801151.29923937772</v>
      </c>
      <c r="W97" s="77">
        <f t="shared" si="132"/>
        <v>821057.50557157863</v>
      </c>
      <c r="X97" s="77">
        <f t="shared" ref="X97" si="133">X96*X100*12</f>
        <v>841458.32141251559</v>
      </c>
      <c r="Y97" s="77">
        <f t="shared" ref="Y97:Z97" si="134">Y96*Y100*12</f>
        <v>862366.03632465238</v>
      </c>
      <c r="Z97" s="77">
        <f t="shared" si="134"/>
        <v>883793.24522921094</v>
      </c>
      <c r="AA97" s="77">
        <f t="shared" ref="AA97:AB97" si="135">AA96*AA100*12</f>
        <v>905752.85599342128</v>
      </c>
      <c r="AB97" s="77">
        <f t="shared" si="135"/>
        <v>928258.09720628965</v>
      </c>
      <c r="AC97" s="77">
        <f t="shared" ref="AC97" si="136">AC96*AC100*12</f>
        <v>951322.5261475743</v>
      </c>
      <c r="AD97" s="77">
        <f t="shared" ref="AD97:AE97" si="137">AD96*AD100*12</f>
        <v>974960.03695476288</v>
      </c>
      <c r="AE97" s="77">
        <f t="shared" si="137"/>
        <v>999184.86899297778</v>
      </c>
      <c r="AF97" s="77">
        <f t="shared" ref="AF97:AG97" si="138">AF96*AF100*12</f>
        <v>1024011.6154328462</v>
      </c>
      <c r="AG97" s="77">
        <f t="shared" si="138"/>
        <v>1049455.2320415061</v>
      </c>
      <c r="AH97" s="77">
        <f t="shared" ref="AH97" si="139">AH96*AH100*12</f>
        <v>1075531.0461920414</v>
      </c>
      <c r="AI97" s="77">
        <f t="shared" ref="AI97:AJ97" si="140">AI96*AI100*12</f>
        <v>1102254.766096775</v>
      </c>
      <c r="AJ97" s="77">
        <f t="shared" si="140"/>
        <v>1129642.4902699813</v>
      </c>
      <c r="AK97" s="77">
        <f t="shared" ref="AK97:AL97" si="141">AK96*AK100*12</f>
        <v>1157710.7172257195</v>
      </c>
      <c r="AL97" s="77">
        <f t="shared" si="141"/>
        <v>1186476.3554166269</v>
      </c>
      <c r="AM97" s="77">
        <f t="shared" ref="AM97" si="142">AM96*AM100*12</f>
        <v>1215956.7334196637</v>
      </c>
      <c r="AN97" s="77">
        <f t="shared" ref="AN97:AO97" si="143">AN96*AN100*12</f>
        <v>1246169.610374942</v>
      </c>
      <c r="AO97" s="77">
        <f t="shared" si="143"/>
        <v>1277133.1866839281</v>
      </c>
      <c r="AP97" s="77">
        <f t="shared" ref="AP97:AQ97" si="144">AP96*AP100*12</f>
        <v>1308866.1149734636</v>
      </c>
      <c r="AQ97" s="77">
        <f t="shared" si="144"/>
        <v>1341387.511332209</v>
      </c>
      <c r="AR97" s="77">
        <f t="shared" ref="AR97" si="145">AR96*AR100*12</f>
        <v>1374716.9668262803</v>
      </c>
      <c r="AS97" s="77">
        <f t="shared" ref="AS97:AT97" si="146">AS96*AS100*12</f>
        <v>1408874.5593010127</v>
      </c>
      <c r="AT97" s="77">
        <f t="shared" si="146"/>
        <v>1443880.8654759647</v>
      </c>
      <c r="AU97" s="77">
        <f t="shared" ref="AU97" si="147">AU96*AU100*12</f>
        <v>1479756.9733404459</v>
      </c>
    </row>
    <row r="98" spans="1:47">
      <c r="H98" s="77"/>
      <c r="I98" s="77"/>
      <c r="J98" s="77"/>
      <c r="K98" s="77"/>
      <c r="L98" s="77"/>
    </row>
    <row r="100" spans="1:47" s="76" customFormat="1">
      <c r="A100" s="76" t="s">
        <v>100</v>
      </c>
      <c r="C100" s="78"/>
      <c r="H100" s="79">
        <f>E107*(1.01)^2</f>
        <v>2302.5289159999998</v>
      </c>
      <c r="I100" s="79">
        <f>H100*(1+I7)</f>
        <v>2325.5542051599996</v>
      </c>
      <c r="J100" s="79">
        <f t="shared" ref="J100:AU100" si="148">I100*(1+J7)</f>
        <v>2348.8097472115996</v>
      </c>
      <c r="K100" s="79">
        <f t="shared" si="148"/>
        <v>2372.2978446837155</v>
      </c>
      <c r="L100" s="79">
        <f t="shared" si="148"/>
        <v>2396.0208231305528</v>
      </c>
      <c r="M100" s="79">
        <f t="shared" si="148"/>
        <v>2419.9810313618582</v>
      </c>
      <c r="N100" s="79">
        <f t="shared" si="148"/>
        <v>2444.1808416754766</v>
      </c>
      <c r="O100" s="79">
        <f t="shared" si="148"/>
        <v>2468.6226500922312</v>
      </c>
      <c r="P100" s="79">
        <f t="shared" si="148"/>
        <v>2493.3088765931534</v>
      </c>
      <c r="Q100" s="79">
        <f t="shared" si="148"/>
        <v>2518.241965359085</v>
      </c>
      <c r="R100" s="79">
        <f t="shared" si="148"/>
        <v>2543.4243850126759</v>
      </c>
      <c r="S100" s="79">
        <f t="shared" si="148"/>
        <v>2568.8586288628026</v>
      </c>
      <c r="T100" s="79">
        <f t="shared" si="148"/>
        <v>2594.5472151514305</v>
      </c>
      <c r="U100" s="79">
        <f t="shared" si="148"/>
        <v>2620.4926873029449</v>
      </c>
      <c r="V100" s="79">
        <f t="shared" si="148"/>
        <v>2646.6976141759742</v>
      </c>
      <c r="W100" s="79">
        <f t="shared" si="148"/>
        <v>2673.1645903177341</v>
      </c>
      <c r="X100" s="79">
        <f t="shared" si="148"/>
        <v>2699.8962362209113</v>
      </c>
      <c r="Y100" s="79">
        <f t="shared" si="148"/>
        <v>2726.8951985831204</v>
      </c>
      <c r="Z100" s="79">
        <f t="shared" si="148"/>
        <v>2754.1641505689518</v>
      </c>
      <c r="AA100" s="79">
        <f t="shared" si="148"/>
        <v>2781.7057920746415</v>
      </c>
      <c r="AB100" s="79">
        <f t="shared" si="148"/>
        <v>2809.5228499953878</v>
      </c>
      <c r="AC100" s="79">
        <f t="shared" si="148"/>
        <v>2837.6180784953417</v>
      </c>
      <c r="AD100" s="79">
        <f t="shared" si="148"/>
        <v>2865.994259280295</v>
      </c>
      <c r="AE100" s="79">
        <f t="shared" si="148"/>
        <v>2894.6542018730979</v>
      </c>
      <c r="AF100" s="79">
        <f t="shared" si="148"/>
        <v>2923.6007438918291</v>
      </c>
      <c r="AG100" s="79">
        <f t="shared" si="148"/>
        <v>2952.8367513307476</v>
      </c>
      <c r="AH100" s="79">
        <f t="shared" si="148"/>
        <v>2982.3651188440549</v>
      </c>
      <c r="AI100" s="79">
        <f t="shared" si="148"/>
        <v>3012.1887700324955</v>
      </c>
      <c r="AJ100" s="79">
        <f t="shared" si="148"/>
        <v>3042.3106577328203</v>
      </c>
      <c r="AK100" s="79">
        <f t="shared" si="148"/>
        <v>3072.7337643101487</v>
      </c>
      <c r="AL100" s="79">
        <f t="shared" si="148"/>
        <v>3103.4611019532504</v>
      </c>
      <c r="AM100" s="79">
        <f t="shared" si="148"/>
        <v>3134.4957129727827</v>
      </c>
      <c r="AN100" s="79">
        <f t="shared" si="148"/>
        <v>3165.8406701025106</v>
      </c>
      <c r="AO100" s="79">
        <f t="shared" si="148"/>
        <v>3197.4990768035359</v>
      </c>
      <c r="AP100" s="79">
        <f t="shared" si="148"/>
        <v>3229.4740675715711</v>
      </c>
      <c r="AQ100" s="79">
        <f t="shared" si="148"/>
        <v>3261.7688082472869</v>
      </c>
      <c r="AR100" s="79">
        <f t="shared" si="148"/>
        <v>3294.3864963297597</v>
      </c>
      <c r="AS100" s="79">
        <f t="shared" si="148"/>
        <v>3327.3303612930572</v>
      </c>
      <c r="AT100" s="79">
        <f t="shared" si="148"/>
        <v>3360.6036649059879</v>
      </c>
      <c r="AU100" s="79">
        <f t="shared" si="148"/>
        <v>3394.209701555048</v>
      </c>
    </row>
    <row r="101" spans="1:47">
      <c r="B101" t="s">
        <v>87</v>
      </c>
      <c r="C101" s="26" t="s">
        <v>88</v>
      </c>
      <c r="E101" t="s">
        <v>91</v>
      </c>
    </row>
    <row r="102" spans="1:47">
      <c r="B102" t="s">
        <v>80</v>
      </c>
      <c r="C102" s="26" t="s">
        <v>80</v>
      </c>
      <c r="E102" s="24">
        <v>630885</v>
      </c>
    </row>
    <row r="103" spans="1:47">
      <c r="A103" t="s">
        <v>89</v>
      </c>
      <c r="B103" s="71">
        <v>0.03</v>
      </c>
      <c r="C103" s="71">
        <v>2.1999999999999999E-2</v>
      </c>
      <c r="E103" t="s">
        <v>92</v>
      </c>
    </row>
    <row r="104" spans="1:47">
      <c r="A104" t="s">
        <v>90</v>
      </c>
      <c r="B104" s="71">
        <v>0.02</v>
      </c>
      <c r="C104" s="71">
        <f>B104*$C$103/$B$103</f>
        <v>1.4666666666666666E-2</v>
      </c>
      <c r="E104" s="24">
        <v>517794</v>
      </c>
    </row>
    <row r="105" spans="1:47">
      <c r="A105" t="s">
        <v>90</v>
      </c>
      <c r="B105" s="71">
        <v>2.1999999999999999E-2</v>
      </c>
      <c r="C105" s="71">
        <f t="shared" ref="C105:C106" si="149">B105*$C$103/$B$103</f>
        <v>1.6133333333333333E-2</v>
      </c>
      <c r="E105" s="24">
        <f>E104*(1.01*1.03)^5</f>
        <v>630884.7159144117</v>
      </c>
    </row>
    <row r="106" spans="1:47">
      <c r="A106" t="s">
        <v>90</v>
      </c>
      <c r="B106" s="71">
        <v>0.03</v>
      </c>
      <c r="C106" s="71">
        <f t="shared" si="149"/>
        <v>2.1999999999999999E-2</v>
      </c>
      <c r="E106" t="s">
        <v>93</v>
      </c>
    </row>
    <row r="107" spans="1:47">
      <c r="E107">
        <v>2257.16</v>
      </c>
      <c r="F107" t="s">
        <v>94</v>
      </c>
    </row>
    <row r="108" spans="1:47">
      <c r="E108" s="72">
        <f>E104/E107/12</f>
        <v>19.116721898314697</v>
      </c>
      <c r="F108" s="30" t="s">
        <v>95</v>
      </c>
    </row>
    <row r="111" spans="1:47">
      <c r="A111" s="30"/>
    </row>
    <row r="112" spans="1:47">
      <c r="A112" s="30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Network</vt:lpstr>
    </vt:vector>
  </TitlesOfParts>
  <Company>Maritime Electric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Leblanc</dc:creator>
  <cp:lastModifiedBy>Maritime Electric</cp:lastModifiedBy>
  <cp:lastPrinted>2013-02-13T11:37:18Z</cp:lastPrinted>
  <dcterms:created xsi:type="dcterms:W3CDTF">2008-04-11T17:00:57Z</dcterms:created>
  <dcterms:modified xsi:type="dcterms:W3CDTF">2013-02-20T22:36:01Z</dcterms:modified>
</cp:coreProperties>
</file>