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nalysis" sheetId="1" r:id="rId1"/>
    <sheet name="Reference" sheetId="2" r:id="rId2"/>
  </sheets>
  <definedNames/>
  <calcPr fullCalcOnLoad="1"/>
</workbook>
</file>

<file path=xl/sharedStrings.xml><?xml version="1.0" encoding="utf-8"?>
<sst xmlns="http://schemas.openxmlformats.org/spreadsheetml/2006/main" count="98" uniqueCount="75">
  <si>
    <t>EE&amp;C Revenue Requirement</t>
  </si>
  <si>
    <t xml:space="preserve">Year </t>
  </si>
  <si>
    <t>MECL Residential Sales Forecast</t>
  </si>
  <si>
    <t>MECL Commercial and Industrial Sales Forecast</t>
  </si>
  <si>
    <t>SEU Residential Sales Forecast</t>
  </si>
  <si>
    <t>SEU Commercial and Industrial Sales Forecast</t>
  </si>
  <si>
    <t>MECL Residential Customer Count</t>
  </si>
  <si>
    <t>MECL Commercial and Industrial Customer Count</t>
  </si>
  <si>
    <t xml:space="preserve">Source </t>
  </si>
  <si>
    <t>Notes</t>
  </si>
  <si>
    <t>Provided by SEU</t>
  </si>
  <si>
    <t>Assumes 50/50 split between Res and C&amp;I</t>
  </si>
  <si>
    <t>MECL Commercial and Industrial Demand Forecast</t>
  </si>
  <si>
    <t>SEU Commercial and Industrial Demand Forecast</t>
  </si>
  <si>
    <t>SEU Residential Customer Count</t>
  </si>
  <si>
    <t>Residential Net at Meter Energy Savings (GWh)</t>
  </si>
  <si>
    <t>C&amp;I Net at Meter Energy Savings (GWh)</t>
  </si>
  <si>
    <t>C&amp;I Net at Meter Demand Savings (MW)</t>
  </si>
  <si>
    <t>2018-2021 DSM Plan</t>
  </si>
  <si>
    <t>Program Year</t>
  </si>
  <si>
    <r>
      <t>MECL Blended Energy Rate (Commercial and Industrial) ($/kWh)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</t>
    </r>
  </si>
  <si>
    <r>
      <t>MECL Blended Demand Rate (Commercial and Industrial) ($/kWh)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</t>
    </r>
  </si>
  <si>
    <r>
      <t>2018-2021 DSM Resource Plan Residential Sector Costs</t>
    </r>
    <r>
      <rPr>
        <b/>
        <vertAlign val="superscript"/>
        <sz val="11"/>
        <color indexed="8"/>
        <rFont val="Calibri"/>
        <family val="2"/>
      </rPr>
      <t>2</t>
    </r>
  </si>
  <si>
    <t>Residential DSM Plan Investment</t>
  </si>
  <si>
    <t xml:space="preserve">C&amp;I DSM Plan Investment </t>
  </si>
  <si>
    <t>Rate Impact - Program Cost Recovery (%)</t>
  </si>
  <si>
    <t>Lost Revenue ($)</t>
  </si>
  <si>
    <t>Avoided Annual Energy Costs - Utility ($)</t>
  </si>
  <si>
    <t>2018/2019</t>
  </si>
  <si>
    <t>2019/2020</t>
  </si>
  <si>
    <t>2020/2021</t>
  </si>
  <si>
    <t>Year</t>
  </si>
  <si>
    <t>Avoided Annual Demand Costs - Utility ($)</t>
  </si>
  <si>
    <t>Residential Net at Meter Demand Savings (MW)</t>
  </si>
  <si>
    <t>Monthly Bill Impact (Residential) ($) - Rate Effects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</si>
  <si>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Assumes Residential Allocated Costs are in proportion to Residential sector investment of Plan Year, scaled by total ratepayer contribution. Assumes 50/50 sector split in Enabling Strategies costs. </t>
    </r>
  </si>
  <si>
    <t>% of Sales Reduction - Residential Cumulative (Residential Average)</t>
  </si>
  <si>
    <t>Average Monthly Energy Consumption (kWh)</t>
  </si>
  <si>
    <t>Net Rate Impact ($)</t>
  </si>
  <si>
    <t>Monthly Bill Reduction  - All Customer Average -Savings $</t>
  </si>
  <si>
    <t>Net Monthly Bill Reduction - All Customer Average $</t>
  </si>
  <si>
    <r>
      <t>2018-2021 DSM Resource Plan C&amp;I Sector Costs</t>
    </r>
    <r>
      <rPr>
        <b/>
        <vertAlign val="superscript"/>
        <sz val="11"/>
        <color indexed="8"/>
        <rFont val="Calibri"/>
        <family val="2"/>
      </rPr>
      <t>2</t>
    </r>
  </si>
  <si>
    <t>Rate Impact - Program Cost Recovery  ($/kWh)</t>
  </si>
  <si>
    <t>Monthly Bill Impact ($) - Rate Effects</t>
  </si>
  <si>
    <t>% Energy Sales Reduction - C&amp;I Cumulative Average</t>
  </si>
  <si>
    <t>% Demand Sales Reduction - C&amp;I Cumulative Average</t>
  </si>
  <si>
    <t>RESIDENTIAL</t>
  </si>
  <si>
    <t>COMMERCIAL &amp; INDUSTRIAL</t>
  </si>
  <si>
    <t>Average Monthly Energy Consumption  (kWh)</t>
  </si>
  <si>
    <t xml:space="preserve">Average Monthly Demand (kW) </t>
  </si>
  <si>
    <t>SEU Commercial and Industrial Customer Count</t>
  </si>
  <si>
    <t>SEU Historical Info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</si>
  <si>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MECL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2018 Base Residential Revenue Source: 2014 CHYMKO cost allocation study, Schedule 1.0. SEU Revenue based on Historical Information provided. Annual assumed increase of 2.0% applied to Revenue Requirement and electricity rates. Held constant 2022 and beyond. </t>
    </r>
  </si>
  <si>
    <t>Provided by MECL</t>
  </si>
  <si>
    <t xml:space="preserve">2017 CHYMKO Cost Allocation Study - Table 7 </t>
  </si>
  <si>
    <t>2017 CHYMKO Cost Allocation Study - Table 7 (excludes lights)</t>
  </si>
  <si>
    <r>
      <t>MECL+SEU Residential Revenue Requirement Less Monthly Service Charges</t>
    </r>
    <r>
      <rPr>
        <b/>
        <vertAlign val="superscript"/>
        <sz val="11"/>
        <color indexed="8"/>
        <rFont val="Calibri"/>
        <family val="2"/>
      </rPr>
      <t>1</t>
    </r>
  </si>
  <si>
    <r>
      <t>MECL + SEU C&amp;I Revenue Requirement Less Service Charges (General Class Only)</t>
    </r>
    <r>
      <rPr>
        <b/>
        <vertAlign val="superscript"/>
        <sz val="11"/>
        <color indexed="8"/>
        <rFont val="Calibri"/>
        <family val="2"/>
      </rPr>
      <t>1</t>
    </r>
  </si>
  <si>
    <r>
      <t>MECL Residential Rate ($/kWh)</t>
    </r>
    <r>
      <rPr>
        <b/>
        <vertAlign val="superscript"/>
        <sz val="11"/>
        <color indexed="8"/>
        <rFont val="Calibri"/>
        <family val="2"/>
      </rPr>
      <t>1</t>
    </r>
  </si>
  <si>
    <r>
      <t>Energy Rate Impact -  Program Cost Recovery  ($/kWh)</t>
    </r>
    <r>
      <rPr>
        <b/>
        <vertAlign val="superscript"/>
        <sz val="11"/>
        <color indexed="8"/>
        <rFont val="Calibri"/>
        <family val="2"/>
      </rPr>
      <t>4</t>
    </r>
  </si>
  <si>
    <r>
      <t>Demand Rate Impact -  Program Cost Recovery  ($/kW)</t>
    </r>
    <r>
      <rPr>
        <b/>
        <vertAlign val="superscript"/>
        <sz val="11"/>
        <color indexed="8"/>
        <rFont val="Calibri"/>
        <family val="2"/>
      </rPr>
      <t>4</t>
    </r>
  </si>
  <si>
    <r>
      <t>Net Energy Rate Impact ($)</t>
    </r>
    <r>
      <rPr>
        <b/>
        <vertAlign val="superscript"/>
        <sz val="12"/>
        <color indexed="8"/>
        <rFont val="Calibri"/>
        <family val="2"/>
      </rPr>
      <t>4</t>
    </r>
  </si>
  <si>
    <r>
      <t>Net Demand Rate Impact ($)</t>
    </r>
    <r>
      <rPr>
        <b/>
        <vertAlign val="superscript"/>
        <sz val="12"/>
        <color indexed="8"/>
        <rFont val="Calibri"/>
        <family val="2"/>
      </rPr>
      <t>4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</si>
  <si>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Assumes energy and demand rate effects are equal on a per cent basis. 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</si>
  <si>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Post-Plan refers to the period after completion of the DSM Plan, until the Weighted-Average Measure Life (14 years) of the sector's measures is reached. Detailed end effects occurring in 2038-2039 are not accounted for in this simplified analysis, which slightly undervalues total bill savings in this analysis. </t>
    </r>
  </si>
  <si>
    <r>
      <t>2022-2032 (Post Plan)</t>
    </r>
    <r>
      <rPr>
        <vertAlign val="superscript"/>
        <sz val="11"/>
        <color indexed="8"/>
        <rFont val="Calibri"/>
        <family val="2"/>
      </rPr>
      <t>5</t>
    </r>
  </si>
  <si>
    <r>
      <t>Rate Impact - Lost Revenue and Avoided Costs (%)</t>
    </r>
    <r>
      <rPr>
        <b/>
        <vertAlign val="superscript"/>
        <sz val="11"/>
        <color indexed="8"/>
        <rFont val="Calibri"/>
        <family val="2"/>
      </rPr>
      <t>3</t>
    </r>
  </si>
  <si>
    <r>
      <t>Energy Rate Impact -  Lost Revenue and Avoided Costs ($/kWh)</t>
    </r>
    <r>
      <rPr>
        <b/>
        <vertAlign val="superscript"/>
        <sz val="11"/>
        <color indexed="8"/>
        <rFont val="Calibri"/>
        <family val="2"/>
      </rPr>
      <t>3,4</t>
    </r>
  </si>
  <si>
    <r>
      <t>Demand Rate Impact - Lost Revenue and Avoided Costs ($/kW)</t>
    </r>
    <r>
      <rPr>
        <b/>
        <vertAlign val="superscript"/>
        <sz val="11"/>
        <color indexed="8"/>
        <rFont val="Calibri"/>
        <family val="2"/>
      </rPr>
      <t>3,4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</si>
  <si>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Lost Revenue, net of Avoided Costs,is indicative of Lost Contribution to Fixed Cost effects. 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</si>
  <si>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MECL 2018 Base Residential Revenue Source: 2014 CHYMKO cost allocation study, Schedule 1.0. SEU Revenue based on Historical Information provided. Annual assumed increase of 2.0% applied to Revenue Requirement and electricity rates. Held constant 2022 and beyond. MECL General class customer count form 2017 CHYMKO Cost Allocation Study. </t>
    </r>
  </si>
  <si>
    <r>
      <t>2022-2037 (Post Plan)</t>
    </r>
    <r>
      <rPr>
        <vertAlign val="superscript"/>
        <sz val="11"/>
        <color indexed="8"/>
        <rFont val="Calibri"/>
        <family val="2"/>
      </rPr>
      <t>4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</si>
  <si>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Post-Plan refers to the period after completion of the DSM Plan, until the Weighted-Average Measure Life (19 years) of the sector's measures is reached. Detailed end effects occurring in 2038-2039 are not accounted for in this simplified analysis, which slightly undervalues total bill savings in this analysis. </t>
    </r>
  </si>
  <si>
    <r>
      <t>Rate Impact -Lost Revenue and Avoided Costs ($)</t>
    </r>
    <r>
      <rPr>
        <b/>
        <vertAlign val="superscript"/>
        <sz val="11"/>
        <color indexed="8"/>
        <rFont val="Calibri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</si>
  <si>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 xml:space="preserve">Lost Revenue, net of Avoided Costs,is indicative of Lost Contribution to Fixed Cost effects.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</si>
</sst>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&quot;$&quot;* #,##0.000000_);_(&quot;$&quot;* \(#,##0.000000\);_(&quot;$&quot;* &quot;-&quot;??_);_(@_)"/>
    <numFmt numFmtId="167" formatCode="0.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4" fontId="0" fillId="0" borderId="0" xfId="44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167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0" fillId="0" borderId="13" xfId="57" applyNumberFormat="1" applyFont="1" applyBorder="1" applyAlignment="1">
      <alignment/>
    </xf>
    <xf numFmtId="44" fontId="0" fillId="0" borderId="14" xfId="44" applyFont="1" applyBorder="1" applyAlignment="1">
      <alignment/>
    </xf>
    <xf numFmtId="167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44" fontId="0" fillId="0" borderId="14" xfId="0" applyNumberFormat="1" applyBorder="1" applyAlignment="1">
      <alignment/>
    </xf>
    <xf numFmtId="10" fontId="0" fillId="0" borderId="14" xfId="57" applyNumberFormat="1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39" fontId="0" fillId="0" borderId="13" xfId="44" applyNumberFormat="1" applyFont="1" applyBorder="1" applyAlignment="1">
      <alignment/>
    </xf>
    <xf numFmtId="39" fontId="0" fillId="0" borderId="14" xfId="44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wrapText="1"/>
    </xf>
    <xf numFmtId="44" fontId="0" fillId="0" borderId="22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44" applyNumberFormat="1" applyFont="1" applyBorder="1" applyAlignment="1">
      <alignment/>
    </xf>
    <xf numFmtId="164" fontId="0" fillId="0" borderId="17" xfId="44" applyNumberFormat="1" applyFont="1" applyBorder="1" applyAlignment="1">
      <alignment/>
    </xf>
    <xf numFmtId="164" fontId="0" fillId="0" borderId="18" xfId="44" applyNumberFormat="1" applyFont="1" applyBorder="1" applyAlignment="1">
      <alignment/>
    </xf>
    <xf numFmtId="168" fontId="0" fillId="0" borderId="22" xfId="44" applyNumberFormat="1" applyFont="1" applyBorder="1" applyAlignment="1">
      <alignment/>
    </xf>
    <xf numFmtId="168" fontId="0" fillId="0" borderId="13" xfId="44" applyNumberFormat="1" applyFont="1" applyBorder="1" applyAlignment="1">
      <alignment/>
    </xf>
    <xf numFmtId="168" fontId="0" fillId="0" borderId="14" xfId="44" applyNumberFormat="1" applyFont="1" applyBorder="1" applyAlignment="1">
      <alignment/>
    </xf>
    <xf numFmtId="44" fontId="0" fillId="0" borderId="26" xfId="44" applyFont="1" applyBorder="1" applyAlignment="1">
      <alignment/>
    </xf>
    <xf numFmtId="167" fontId="0" fillId="0" borderId="22" xfId="0" applyNumberFormat="1" applyBorder="1" applyAlignment="1">
      <alignment/>
    </xf>
    <xf numFmtId="10" fontId="0" fillId="0" borderId="22" xfId="57" applyNumberFormat="1" applyFont="1" applyBorder="1" applyAlignment="1">
      <alignment/>
    </xf>
    <xf numFmtId="166" fontId="0" fillId="0" borderId="22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23" xfId="44" applyFont="1" applyBorder="1" applyAlignment="1">
      <alignment/>
    </xf>
    <xf numFmtId="170" fontId="0" fillId="0" borderId="2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39" fillId="0" borderId="0" xfId="0" applyFont="1" applyAlignment="1">
      <alignment/>
    </xf>
    <xf numFmtId="44" fontId="40" fillId="0" borderId="25" xfId="0" applyNumberFormat="1" applyFont="1" applyBorder="1" applyAlignment="1">
      <alignment/>
    </xf>
    <xf numFmtId="44" fontId="40" fillId="0" borderId="17" xfId="0" applyNumberFormat="1" applyFont="1" applyBorder="1" applyAlignment="1">
      <alignment/>
    </xf>
    <xf numFmtId="44" fontId="40" fillId="0" borderId="18" xfId="0" applyNumberFormat="1" applyFont="1" applyBorder="1" applyAlignment="1">
      <alignment/>
    </xf>
    <xf numFmtId="169" fontId="40" fillId="0" borderId="13" xfId="44" applyNumberFormat="1" applyFont="1" applyBorder="1" applyAlignment="1">
      <alignment/>
    </xf>
    <xf numFmtId="169" fontId="40" fillId="0" borderId="14" xfId="44" applyNumberFormat="1" applyFont="1" applyBorder="1" applyAlignment="1">
      <alignment/>
    </xf>
    <xf numFmtId="166" fontId="40" fillId="0" borderId="22" xfId="0" applyNumberFormat="1" applyFont="1" applyBorder="1" applyAlignment="1">
      <alignment/>
    </xf>
    <xf numFmtId="166" fontId="40" fillId="0" borderId="13" xfId="0" applyNumberFormat="1" applyFont="1" applyBorder="1" applyAlignment="1">
      <alignment/>
    </xf>
    <xf numFmtId="166" fontId="40" fillId="0" borderId="14" xfId="0" applyNumberFormat="1" applyFont="1" applyBorder="1" applyAlignment="1">
      <alignment/>
    </xf>
    <xf numFmtId="44" fontId="40" fillId="0" borderId="13" xfId="44" applyFont="1" applyBorder="1" applyAlignment="1">
      <alignment/>
    </xf>
    <xf numFmtId="44" fontId="40" fillId="0" borderId="14" xfId="44" applyFont="1" applyBorder="1" applyAlignment="1">
      <alignment/>
    </xf>
    <xf numFmtId="0" fontId="37" fillId="0" borderId="21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 wrapText="1"/>
    </xf>
    <xf numFmtId="44" fontId="37" fillId="0" borderId="21" xfId="44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7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3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2.140625" style="0" customWidth="1"/>
    <col min="2" max="3" width="25.421875" style="0" customWidth="1"/>
    <col min="4" max="4" width="19.28125" style="0" customWidth="1"/>
    <col min="5" max="10" width="22.140625" style="0" customWidth="1"/>
    <col min="11" max="13" width="22.8515625" style="0" customWidth="1"/>
    <col min="14" max="14" width="19.00390625" style="0" customWidth="1"/>
    <col min="15" max="15" width="22.28125" style="0" customWidth="1"/>
    <col min="16" max="16" width="24.00390625" style="0" customWidth="1"/>
    <col min="17" max="17" width="27.00390625" style="0" customWidth="1"/>
    <col min="18" max="18" width="24.7109375" style="0" customWidth="1"/>
    <col min="19" max="21" width="25.00390625" style="0" customWidth="1"/>
    <col min="22" max="22" width="24.140625" style="0" customWidth="1"/>
    <col min="23" max="23" width="27.8515625" style="0" customWidth="1"/>
  </cols>
  <sheetData>
    <row r="5" ht="30.75" hidden="1" thickBot="1">
      <c r="A5" s="37" t="s">
        <v>0</v>
      </c>
    </row>
    <row r="6" ht="15" hidden="1">
      <c r="A6" s="43">
        <v>600000</v>
      </c>
    </row>
    <row r="7" ht="15" hidden="1">
      <c r="A7" s="44">
        <v>970000</v>
      </c>
    </row>
    <row r="8" spans="1:7" ht="15.75" hidden="1" thickBot="1">
      <c r="A8" s="45">
        <v>1200000</v>
      </c>
      <c r="G8" s="2"/>
    </row>
    <row r="9" spans="4:13" ht="15">
      <c r="D9" s="1"/>
      <c r="E9" s="1"/>
      <c r="F9" s="1"/>
      <c r="G9" s="1"/>
      <c r="H9" s="1"/>
      <c r="I9" s="1"/>
      <c r="J9" s="1"/>
      <c r="K9" s="4"/>
      <c r="L9" s="4"/>
      <c r="M9" s="4"/>
    </row>
    <row r="10" spans="1:13" ht="23.25">
      <c r="A10" s="59" t="s">
        <v>46</v>
      </c>
      <c r="D10" s="1"/>
      <c r="E10" s="1"/>
      <c r="F10" s="1"/>
      <c r="G10" s="1"/>
      <c r="H10" s="1"/>
      <c r="I10" s="1"/>
      <c r="J10" s="1"/>
      <c r="K10" s="4"/>
      <c r="L10" s="4"/>
      <c r="M10" s="4"/>
    </row>
    <row r="11" spans="4:13" ht="15">
      <c r="D11" s="1"/>
      <c r="E11" s="1"/>
      <c r="F11" s="1"/>
      <c r="G11" s="1"/>
      <c r="H11" s="1"/>
      <c r="I11" s="1"/>
      <c r="J11" s="1"/>
      <c r="K11" s="4"/>
      <c r="L11" s="4"/>
      <c r="M11" s="4"/>
    </row>
    <row r="12" ht="15.75" thickBot="1">
      <c r="G12" s="2"/>
    </row>
    <row r="13" spans="1:18" s="75" customFormat="1" ht="63" customHeight="1" thickBot="1">
      <c r="A13" s="70" t="s">
        <v>31</v>
      </c>
      <c r="B13" s="71" t="s">
        <v>56</v>
      </c>
      <c r="C13" s="71" t="s">
        <v>22</v>
      </c>
      <c r="D13" s="71" t="s">
        <v>58</v>
      </c>
      <c r="E13" s="71" t="s">
        <v>37</v>
      </c>
      <c r="F13" s="71" t="s">
        <v>25</v>
      </c>
      <c r="G13" s="72" t="s">
        <v>26</v>
      </c>
      <c r="H13" s="72" t="s">
        <v>27</v>
      </c>
      <c r="I13" s="72" t="s">
        <v>32</v>
      </c>
      <c r="J13" s="71" t="s">
        <v>66</v>
      </c>
      <c r="K13" s="71" t="s">
        <v>42</v>
      </c>
      <c r="L13" s="71" t="s">
        <v>73</v>
      </c>
      <c r="M13" s="73" t="s">
        <v>38</v>
      </c>
      <c r="N13" s="71" t="s">
        <v>34</v>
      </c>
      <c r="O13" s="71" t="s">
        <v>36</v>
      </c>
      <c r="P13" s="71" t="s">
        <v>39</v>
      </c>
      <c r="Q13" s="73" t="s">
        <v>40</v>
      </c>
      <c r="R13" s="74"/>
    </row>
    <row r="14" spans="1:18" ht="15.75">
      <c r="A14" s="8" t="s">
        <v>28</v>
      </c>
      <c r="B14" s="49">
        <f>98815000+8118208-25.745*12*Reference!D8-24.57*12*Reference!D10</f>
        <v>84530509.03999999</v>
      </c>
      <c r="C14" s="38">
        <f>Reference!$D$16*Analysis!$A$6/SUM(Reference!$D$16:$D$17)</f>
        <v>435665.4293645414</v>
      </c>
      <c r="D14" s="46">
        <v>0.1356</v>
      </c>
      <c r="E14" s="50">
        <f>(Reference!D2+Reference!D5)/(Reference!D8+Reference!D10)*10^6/12</f>
        <v>744.4401700007328</v>
      </c>
      <c r="F14" s="51">
        <f>C14/B14</f>
        <v>0.005153943047455017</v>
      </c>
      <c r="G14" s="38">
        <f>P14*SUM(Reference!D8+Reference!D10)*12</f>
        <v>507131.83856502245</v>
      </c>
      <c r="H14" s="38">
        <f>Reference!D12*0.08*10^6</f>
        <v>299192.8251121077</v>
      </c>
      <c r="I14" s="38">
        <f>SUM(Reference!D13:D13)*260*10^3</f>
        <v>317200</v>
      </c>
      <c r="J14" s="51">
        <f>(G14-H14-I14)/B14</f>
        <v>-0.0012925627419962977</v>
      </c>
      <c r="K14" s="52">
        <f>C14/B14*D14</f>
        <v>0.0006988746772349003</v>
      </c>
      <c r="L14" s="52">
        <f>(G14-H14-I14)/B14*D14</f>
        <v>-0.00017527150781469796</v>
      </c>
      <c r="M14" s="65">
        <f>K14+L14</f>
        <v>0.0005236031694202023</v>
      </c>
      <c r="N14" s="53">
        <f>M14*E14</f>
        <v>0.3897912324560979</v>
      </c>
      <c r="O14" s="51">
        <f>SUM(Reference!D12:D12)/SUM(Reference!D2+Reference!D5)</f>
        <v>0.005751938348048824</v>
      </c>
      <c r="P14" s="38">
        <f>O14*E14*D14</f>
        <v>0.5806356692004452</v>
      </c>
      <c r="Q14" s="60">
        <f>P14-N14</f>
        <v>0.19084443674434726</v>
      </c>
      <c r="R14" s="2"/>
    </row>
    <row r="15" spans="1:18" ht="15.75">
      <c r="A15" s="9" t="s">
        <v>29</v>
      </c>
      <c r="B15" s="40">
        <f>B14*1.02</f>
        <v>86221119.2208</v>
      </c>
      <c r="C15" s="11">
        <f>Reference!$E$16*Analysis!$A$7/SUM(Reference!$E$16:$E$17)</f>
        <v>690414.7714204305</v>
      </c>
      <c r="D15" s="47">
        <f>+D14*1.02</f>
        <v>0.138312</v>
      </c>
      <c r="E15" s="12">
        <f>(Reference!E2+Reference!E5)/(Reference!E8+Reference!E10)*10^6/12</f>
        <v>751.132345936836</v>
      </c>
      <c r="F15" s="15">
        <f>C15/B15</f>
        <v>0.008007490249023289</v>
      </c>
      <c r="G15" s="11">
        <f>P15*SUM(Reference!E8+Reference!E10)*12</f>
        <v>1559266.2242152467</v>
      </c>
      <c r="H15" s="11">
        <f>SUM(Reference!D12:Reference!E12)*0.08*10^6</f>
        <v>901883.4080717489</v>
      </c>
      <c r="I15" s="11">
        <f>SUM(Reference!D13:E13)*260*10^3</f>
        <v>915199.9999999999</v>
      </c>
      <c r="J15" s="15">
        <f>(G15-H15-I15)/B15</f>
        <v>-0.0029901860029938722</v>
      </c>
      <c r="K15" s="13">
        <f>C15/B15*D15</f>
        <v>0.001107531991322909</v>
      </c>
      <c r="L15" s="13">
        <f>(G15-H15-I15)/B15*D15</f>
        <v>-0.00041357860644608845</v>
      </c>
      <c r="M15" s="66">
        <f>K15+L15</f>
        <v>0.0006939533848768207</v>
      </c>
      <c r="N15" s="14">
        <f>M15*E15</f>
        <v>0.5212508339533344</v>
      </c>
      <c r="O15" s="15">
        <f>SUM(Reference!D12:E12)/SUM(Reference!E2+Reference!E5)</f>
        <v>0.017184099567707795</v>
      </c>
      <c r="P15" s="11">
        <f>O15*E15*D15</f>
        <v>1.7852667072150092</v>
      </c>
      <c r="Q15" s="61">
        <f>P15-N15</f>
        <v>1.2640158732616749</v>
      </c>
      <c r="R15" s="2"/>
    </row>
    <row r="16" spans="1:18" ht="15.75">
      <c r="A16" s="9" t="s">
        <v>30</v>
      </c>
      <c r="B16" s="40">
        <f>B15*1.02</f>
        <v>87945541.605216</v>
      </c>
      <c r="C16" s="11">
        <f>Reference!$F$16*Analysis!$A$8/SUM(Reference!$F$16:$F$17)</f>
        <v>791292.5645547967</v>
      </c>
      <c r="D16" s="47">
        <f>+D15*1.02</f>
        <v>0.14107824</v>
      </c>
      <c r="E16" s="12">
        <f>(Reference!F2+Reference!F5)/(Reference!F8+Reference!F10)*10^6/12</f>
        <v>758.540109547886</v>
      </c>
      <c r="F16" s="15">
        <f>C16/B16</f>
        <v>0.008997529040265363</v>
      </c>
      <c r="G16" s="11">
        <f>P16*SUM(Reference!F8+Reference!F10)*12</f>
        <v>2602672.104753363</v>
      </c>
      <c r="H16" s="11">
        <f>SUM(Reference!D12:Reference!F12)*0.08*10^6</f>
        <v>1475874.4394618836</v>
      </c>
      <c r="I16" s="11">
        <f>SUM(Reference!D13:F13)*260*10^3</f>
        <v>1502799.9999999998</v>
      </c>
      <c r="J16" s="15">
        <f>(G16-H16-I16)/B16</f>
        <v>-0.004275399614870528</v>
      </c>
      <c r="K16" s="13">
        <f>C16/B16*D16</f>
        <v>0.0012693555613495265</v>
      </c>
      <c r="L16" s="13">
        <f>(G16-H16-I16)/B16*D16</f>
        <v>-0.0006031658529626119</v>
      </c>
      <c r="M16" s="66">
        <f>K16+L16</f>
        <v>0.0006661897083869146</v>
      </c>
      <c r="N16" s="14">
        <f>M16*E16</f>
        <v>0.5053316143794845</v>
      </c>
      <c r="O16" s="15">
        <f>SUM(Reference!D12:F12)/SUM(Reference!F2+Reference!F5)</f>
        <v>0.02784605706025304</v>
      </c>
      <c r="P16" s="11">
        <f>O16*E16*D16</f>
        <v>2.9799041281432768</v>
      </c>
      <c r="Q16" s="61">
        <f>P16-N16</f>
        <v>2.474572513763792</v>
      </c>
      <c r="R16" s="2"/>
    </row>
    <row r="17" spans="1:18" ht="18" thickBot="1">
      <c r="A17" s="10" t="s">
        <v>71</v>
      </c>
      <c r="B17" s="54">
        <f>B16*1.02</f>
        <v>89704452.43732032</v>
      </c>
      <c r="C17" s="16">
        <v>0</v>
      </c>
      <c r="D17" s="48">
        <f>+D16*1.02</f>
        <v>0.1438998048</v>
      </c>
      <c r="E17" s="17">
        <f>E16</f>
        <v>758.540109547886</v>
      </c>
      <c r="F17" s="20">
        <v>0</v>
      </c>
      <c r="G17" s="16">
        <f>G16</f>
        <v>2602672.104753363</v>
      </c>
      <c r="H17" s="16">
        <f>SUM(Reference!D12:Reference!F12)*0.08*10^6</f>
        <v>1475874.4394618836</v>
      </c>
      <c r="I17" s="16">
        <f>SUM(Reference!D13:F13)*260*10^3</f>
        <v>1502799.9999999998</v>
      </c>
      <c r="J17" s="20">
        <f>(G17-H17-I17)/B17</f>
        <v>-0.004191568249873066</v>
      </c>
      <c r="K17" s="18">
        <v>0</v>
      </c>
      <c r="L17" s="18">
        <f>(G17-H17-I17)/B17*D17</f>
        <v>-0.0006031658529626119</v>
      </c>
      <c r="M17" s="67">
        <f>K17+L17</f>
        <v>-0.0006031658529626119</v>
      </c>
      <c r="N17" s="19">
        <f>M17*E17</f>
        <v>-0.4575254921818037</v>
      </c>
      <c r="O17" s="20">
        <f>SUM(Reference!D12:F12)/SUM(Reference!F2+Reference!F5)</f>
        <v>0.02784605706025304</v>
      </c>
      <c r="P17" s="16">
        <f>O17*E17*D17</f>
        <v>3.0395022107061425</v>
      </c>
      <c r="Q17" s="62">
        <f>P17-N17</f>
        <v>3.497027702887946</v>
      </c>
      <c r="R17" s="2"/>
    </row>
    <row r="18" spans="1:18" ht="17.25">
      <c r="A18" t="s">
        <v>52</v>
      </c>
      <c r="D18" s="5"/>
      <c r="E18" s="7"/>
      <c r="F18" s="7"/>
      <c r="G18" s="7"/>
      <c r="H18" s="7"/>
      <c r="I18" s="7"/>
      <c r="J18" s="7"/>
      <c r="K18" s="3"/>
      <c r="L18" s="3"/>
      <c r="M18" s="3"/>
      <c r="N18" s="2"/>
      <c r="O18" s="4"/>
      <c r="P18" s="5"/>
      <c r="Q18" s="2"/>
      <c r="R18" s="2"/>
    </row>
    <row r="19" spans="1:18" ht="17.25">
      <c r="A19" t="s">
        <v>35</v>
      </c>
      <c r="D19" s="5"/>
      <c r="E19" s="7"/>
      <c r="F19" s="7"/>
      <c r="G19" s="7"/>
      <c r="H19" s="7"/>
      <c r="I19" s="7"/>
      <c r="J19" s="7"/>
      <c r="K19" s="3"/>
      <c r="L19" s="3"/>
      <c r="M19" s="3"/>
      <c r="N19" s="2"/>
      <c r="O19" s="4"/>
      <c r="P19" s="5"/>
      <c r="Q19" s="2"/>
      <c r="R19" s="2"/>
    </row>
    <row r="20" ht="18" customHeight="1">
      <c r="A20" t="s">
        <v>74</v>
      </c>
    </row>
    <row r="21" spans="1:18" ht="17.25">
      <c r="A21" t="s">
        <v>72</v>
      </c>
      <c r="D21" s="5"/>
      <c r="E21" s="7"/>
      <c r="F21" s="7"/>
      <c r="G21" s="7"/>
      <c r="H21" s="7"/>
      <c r="I21" s="7"/>
      <c r="J21" s="7"/>
      <c r="K21" s="3"/>
      <c r="L21" s="3"/>
      <c r="M21" s="3"/>
      <c r="N21" s="2"/>
      <c r="O21" s="4"/>
      <c r="P21" s="5"/>
      <c r="Q21" s="2"/>
      <c r="R21" s="2"/>
    </row>
    <row r="22" ht="18" customHeight="1"/>
    <row r="23" ht="18" customHeight="1"/>
    <row r="24" ht="18" customHeight="1">
      <c r="A24" s="59" t="s">
        <v>47</v>
      </c>
    </row>
    <row r="25" ht="18" customHeight="1"/>
    <row r="26" ht="18" customHeight="1" thickBot="1"/>
    <row r="27" spans="1:23" s="75" customFormat="1" ht="69.75" customHeight="1" thickBot="1">
      <c r="A27" s="70" t="s">
        <v>19</v>
      </c>
      <c r="B27" s="71" t="s">
        <v>57</v>
      </c>
      <c r="C27" s="71" t="s">
        <v>41</v>
      </c>
      <c r="D27" s="71" t="s">
        <v>20</v>
      </c>
      <c r="E27" s="71" t="s">
        <v>21</v>
      </c>
      <c r="F27" s="71" t="s">
        <v>48</v>
      </c>
      <c r="G27" s="71" t="s">
        <v>49</v>
      </c>
      <c r="H27" s="71" t="s">
        <v>25</v>
      </c>
      <c r="I27" s="72" t="s">
        <v>26</v>
      </c>
      <c r="J27" s="72" t="s">
        <v>27</v>
      </c>
      <c r="K27" s="72" t="s">
        <v>32</v>
      </c>
      <c r="L27" s="71" t="s">
        <v>66</v>
      </c>
      <c r="M27" s="71" t="s">
        <v>59</v>
      </c>
      <c r="N27" s="71" t="s">
        <v>60</v>
      </c>
      <c r="O27" s="71" t="s">
        <v>67</v>
      </c>
      <c r="P27" s="71" t="s">
        <v>68</v>
      </c>
      <c r="Q27" s="73" t="s">
        <v>61</v>
      </c>
      <c r="R27" s="73" t="s">
        <v>62</v>
      </c>
      <c r="S27" s="71" t="s">
        <v>43</v>
      </c>
      <c r="T27" s="71" t="s">
        <v>44</v>
      </c>
      <c r="U27" s="71" t="s">
        <v>45</v>
      </c>
      <c r="V27" s="71" t="s">
        <v>39</v>
      </c>
      <c r="W27" s="73" t="s">
        <v>40</v>
      </c>
    </row>
    <row r="28" spans="1:23" ht="15.75">
      <c r="A28" s="8" t="s">
        <v>28</v>
      </c>
      <c r="B28" s="39">
        <f>88692000+12548174-8895*24.57*12-Reference!D11*24.57*12</f>
        <v>98293248.2</v>
      </c>
      <c r="C28" s="38">
        <f>A6-C14</f>
        <v>164334.57063545857</v>
      </c>
      <c r="D28" s="21">
        <v>0.10069644</v>
      </c>
      <c r="E28" s="11">
        <v>12.79956</v>
      </c>
      <c r="F28" s="23">
        <f>(Reference!D3+Reference!D6)/(Reference!D9+Reference!D11)/12*10^6</f>
        <v>5494.271375816685</v>
      </c>
      <c r="G28" s="23">
        <f>(Reference!D4+Reference!D7)/(Reference!D9+Reference!D11)*1000</f>
        <v>23.605719155383014</v>
      </c>
      <c r="H28" s="15">
        <f>C28/B28</f>
        <v>0.0016718805578698798</v>
      </c>
      <c r="I28" s="11">
        <f>V28*(Reference!D9+Reference!D11)*12</f>
        <v>138590.0618776719</v>
      </c>
      <c r="J28" s="11">
        <f>SUM(Reference!D14:D14)*10^6*0.08</f>
        <v>91121.07623318385</v>
      </c>
      <c r="K28" s="23">
        <f>SUM(Reference!D15:D15)*260*1000</f>
        <v>40449.43820224719</v>
      </c>
      <c r="L28" s="51">
        <f>(I28-J28-K28)/B28</f>
        <v>7.141433995504944E-05</v>
      </c>
      <c r="M28" s="52">
        <f>H28*D28</f>
        <v>0.00016835242028271087</v>
      </c>
      <c r="N28" s="11">
        <f>H28*E28</f>
        <v>0.021399335513288997</v>
      </c>
      <c r="O28" s="56">
        <f>L28*D28</f>
        <v>7.1911697984232384E-06</v>
      </c>
      <c r="P28" s="47">
        <f>L28*E28</f>
        <v>0.0009140721291150526</v>
      </c>
      <c r="Q28" s="63">
        <f>M28+O28</f>
        <v>0.0001755435900811341</v>
      </c>
      <c r="R28" s="68">
        <f>N28+P28</f>
        <v>0.02231340764240405</v>
      </c>
      <c r="S28" s="11">
        <f>F28*Q28+G28*R28</f>
        <v>1.4912081563970399</v>
      </c>
      <c r="T28" s="15">
        <f>SUM(Reference!D14:D14)/(Reference!D3+Reference!D6)</f>
        <v>0.001635808491906934</v>
      </c>
      <c r="U28" s="15">
        <f>SUM(Reference!D15:D15)/(Reference!D4+Reference!D7)</f>
        <v>0.0006240463791268967</v>
      </c>
      <c r="V28" s="11">
        <f>D28*F28*T28+E28*G28*U28</f>
        <v>1.0935680165835928</v>
      </c>
      <c r="W28" s="60">
        <f>V28-S28</f>
        <v>-0.39764013981344704</v>
      </c>
    </row>
    <row r="29" spans="1:23" ht="15.75">
      <c r="A29" s="9" t="s">
        <v>29</v>
      </c>
      <c r="B29" s="39">
        <f>B28*1.02</f>
        <v>100259113.164</v>
      </c>
      <c r="C29" s="11">
        <f>A7-C15</f>
        <v>279585.2285795695</v>
      </c>
      <c r="D29" s="21">
        <f aca="true" t="shared" si="0" ref="D29:E31">D28*1.02</f>
        <v>0.1027103688</v>
      </c>
      <c r="E29" s="11">
        <f t="shared" si="0"/>
        <v>13.0555512</v>
      </c>
      <c r="F29" s="23">
        <f>(Reference!E3+Reference!E6)/(Reference!E9+Reference!E11)/12*10^6</f>
        <v>5543.548590726889</v>
      </c>
      <c r="G29" s="23">
        <f>(Reference!E4+Reference!E7)/(Reference!E9+Reference!E11)*1000</f>
        <v>23.65306315689802</v>
      </c>
      <c r="H29" s="15">
        <f>C29/B29</f>
        <v>0.002788626587213421</v>
      </c>
      <c r="I29" s="11">
        <f>V29*(Reference!E9+Reference!E11)*12</f>
        <v>401655.3315721144</v>
      </c>
      <c r="J29" s="11">
        <f>SUM(Reference!D14:E14)*10^6*0.08</f>
        <v>261165.91928251117</v>
      </c>
      <c r="K29" s="23">
        <f>SUM(Reference!D15:E15)*260*1000</f>
        <v>110112.35955056178</v>
      </c>
      <c r="L29" s="15">
        <f>(I29-J29-K29)/B29</f>
        <v>0.0003029854521987623</v>
      </c>
      <c r="M29" s="13">
        <f>H29*D29</f>
        <v>0.0002864208652181758</v>
      </c>
      <c r="N29" s="11">
        <f>H29*E29</f>
        <v>0.03640705718704608</v>
      </c>
      <c r="O29" s="57">
        <f>L29*D29</f>
        <v>3.111974753636964E-05</v>
      </c>
      <c r="P29" s="47">
        <f>L29*E29</f>
        <v>0.003955642084036094</v>
      </c>
      <c r="Q29" s="63">
        <f>M29+O29</f>
        <v>0.00031754061275454545</v>
      </c>
      <c r="R29" s="68">
        <f>N29+P29</f>
        <v>0.04036269927108217</v>
      </c>
      <c r="S29" s="11">
        <f>F29*Q29+G29*R29</f>
        <v>2.715003291375802</v>
      </c>
      <c r="T29" s="15">
        <f>SUM(Reference!D14:E14)/(Reference!E3+Reference!E6)</f>
        <v>0.0046467827555977045</v>
      </c>
      <c r="U29" s="15">
        <f>SUM(Reference!D15:E15)/(Reference!E4+Reference!E7)</f>
        <v>0.0016953926148697695</v>
      </c>
      <c r="V29" s="11">
        <f>D29*F29*T29+E29*G29*U29</f>
        <v>3.1693284377435402</v>
      </c>
      <c r="W29" s="61">
        <f>V29-S29</f>
        <v>0.45432514636773824</v>
      </c>
    </row>
    <row r="30" spans="1:23" ht="15.75">
      <c r="A30" s="9" t="s">
        <v>30</v>
      </c>
      <c r="B30" s="39">
        <f>B29*1.02</f>
        <v>102264295.42728001</v>
      </c>
      <c r="C30" s="11">
        <f>A8-C16</f>
        <v>408707.43544520333</v>
      </c>
      <c r="D30" s="21">
        <f t="shared" si="0"/>
        <v>0.10476457617599999</v>
      </c>
      <c r="E30" s="11">
        <f t="shared" si="0"/>
        <v>13.316662224</v>
      </c>
      <c r="F30" s="23">
        <f>(Reference!F3+Reference!F6)/(Reference!F9+Reference!F11)/12*10^6</f>
        <v>5570.929204936402</v>
      </c>
      <c r="G30" s="23">
        <f>(Reference!F4+Reference!F7)/(Reference!F9+Reference!F11)*1000</f>
        <v>23.65306315689802</v>
      </c>
      <c r="H30" s="15">
        <f>C30/B30</f>
        <v>0.003996579976789989</v>
      </c>
      <c r="I30" s="11">
        <f>V30*(Reference!F9+Reference!F11)*12</f>
        <v>977331.2257019242</v>
      </c>
      <c r="J30" s="11">
        <f>SUM(Reference!D14:F14)*10^6*0.08</f>
        <v>629237.6681614349</v>
      </c>
      <c r="K30" s="23">
        <f>SUM(Reference!D15:F15)*260*1000</f>
        <v>249438.202247191</v>
      </c>
      <c r="L30" s="15">
        <f>(I30-J30-K30)/B30</f>
        <v>0.0009647096758560463</v>
      </c>
      <c r="M30" s="13">
        <f>H30*D30</f>
        <v>0.0004187000074218911</v>
      </c>
      <c r="N30" s="11">
        <f>H30*E30</f>
        <v>0.053221105602114044</v>
      </c>
      <c r="O30" s="57">
        <f>L30*D30</f>
        <v>0.00010106740032394501</v>
      </c>
      <c r="P30" s="47">
        <f>L30*E30</f>
        <v>0.012846712897599496</v>
      </c>
      <c r="Q30" s="63">
        <f>M30+O30</f>
        <v>0.0005197674077458361</v>
      </c>
      <c r="R30" s="68">
        <f>N30+P30</f>
        <v>0.06606781849971353</v>
      </c>
      <c r="S30" s="11">
        <f>F30*Q30+G30*R30</f>
        <v>4.4582937151975655</v>
      </c>
      <c r="T30" s="15">
        <f>SUM(Reference!D14:F14)/(Reference!F3+Reference!F6)</f>
        <v>0.011140656858590732</v>
      </c>
      <c r="U30" s="15">
        <f>SUM(Reference!D15:F15)/(Reference!F4+Reference!F7)</f>
        <v>0.0038405832704192736</v>
      </c>
      <c r="V30" s="11">
        <f>D30*F30*T30+E30*G30*U30</f>
        <v>7.711795171716095</v>
      </c>
      <c r="W30" s="61">
        <f>V30-S30</f>
        <v>3.2535014565185296</v>
      </c>
    </row>
    <row r="31" spans="1:23" ht="18" thickBot="1">
      <c r="A31" s="10" t="s">
        <v>65</v>
      </c>
      <c r="B31" s="55">
        <f>B30*1.02</f>
        <v>104309581.3358256</v>
      </c>
      <c r="C31" s="16">
        <v>0</v>
      </c>
      <c r="D31" s="16">
        <f t="shared" si="0"/>
        <v>0.10685986769952</v>
      </c>
      <c r="E31" s="16">
        <f t="shared" si="0"/>
        <v>13.58299546848</v>
      </c>
      <c r="F31" s="24">
        <f>F30</f>
        <v>5570.929204936402</v>
      </c>
      <c r="G31" s="24">
        <f>G30</f>
        <v>23.65306315689802</v>
      </c>
      <c r="H31" s="20">
        <f>C31/B31</f>
        <v>0</v>
      </c>
      <c r="I31" s="16">
        <f>I30</f>
        <v>977331.2257019242</v>
      </c>
      <c r="J31" s="16">
        <f>J30</f>
        <v>629237.6681614349</v>
      </c>
      <c r="K31" s="24">
        <f>K30</f>
        <v>249438.202247191</v>
      </c>
      <c r="L31" s="20">
        <f>(I31-J31-K31)/B31</f>
        <v>0.0009457937998588689</v>
      </c>
      <c r="M31" s="18">
        <f>H31*D31</f>
        <v>0</v>
      </c>
      <c r="N31" s="16">
        <f>H31*E31</f>
        <v>0</v>
      </c>
      <c r="O31" s="58">
        <f>O30</f>
        <v>0.00010106740032394501</v>
      </c>
      <c r="P31" s="48">
        <f>P30</f>
        <v>0.012846712897599496</v>
      </c>
      <c r="Q31" s="64">
        <f>M31+O31</f>
        <v>0.00010106740032394501</v>
      </c>
      <c r="R31" s="69">
        <f>N31+P31</f>
        <v>0.012846712897599496</v>
      </c>
      <c r="S31" s="16">
        <f>F31*Q31+G31*R31</f>
        <v>0.8669034436571212</v>
      </c>
      <c r="T31" s="20">
        <f>T30</f>
        <v>0.011140656858590732</v>
      </c>
      <c r="U31" s="20">
        <f>U30</f>
        <v>0.0038405832704192736</v>
      </c>
      <c r="V31" s="16">
        <f>D31*F31*T31+E31*G31*U31</f>
        <v>7.866031075150417</v>
      </c>
      <c r="W31" s="62">
        <f>V31-S31</f>
        <v>6.9991276314932955</v>
      </c>
    </row>
    <row r="32" ht="17.25">
      <c r="A32" t="s">
        <v>70</v>
      </c>
    </row>
    <row r="33" ht="17.25">
      <c r="A33" t="s">
        <v>35</v>
      </c>
    </row>
    <row r="34" ht="17.25">
      <c r="A34" t="s">
        <v>69</v>
      </c>
    </row>
    <row r="35" ht="17.25">
      <c r="A35" t="s">
        <v>63</v>
      </c>
    </row>
    <row r="36" spans="1:18" ht="17.25">
      <c r="A36" t="s">
        <v>64</v>
      </c>
      <c r="R36" s="6"/>
    </row>
  </sheetData>
  <sheetProtection/>
  <printOptions/>
  <pageMargins left="0.25" right="0.25" top="0.75" bottom="0.75" header="0.3" footer="0.3"/>
  <pageSetup horizontalDpi="600" verticalDpi="600" orientation="landscape" paperSize="17" r:id="rId1"/>
  <ignoredErrors>
    <ignoredError sqref="I15" formulaRange="1"/>
    <ignoredError sqref="H31 C29:C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8" sqref="E28"/>
    </sheetView>
  </sheetViews>
  <sheetFormatPr defaultColWidth="9.140625" defaultRowHeight="15"/>
  <cols>
    <col min="3" max="3" width="31.57421875" style="0" customWidth="1"/>
    <col min="4" max="4" width="15.140625" style="0" customWidth="1"/>
    <col min="5" max="5" width="14.28125" style="0" customWidth="1"/>
    <col min="6" max="6" width="14.140625" style="0" customWidth="1"/>
    <col min="7" max="7" width="56.28125" style="0" customWidth="1"/>
    <col min="8" max="8" width="47.421875" style="0" customWidth="1"/>
  </cols>
  <sheetData>
    <row r="1" spans="1:8" ht="15.75" thickBot="1">
      <c r="A1" s="76" t="s">
        <v>1</v>
      </c>
      <c r="B1" s="76"/>
      <c r="C1" s="76"/>
      <c r="D1" s="36">
        <v>2018</v>
      </c>
      <c r="E1" s="36">
        <v>2019</v>
      </c>
      <c r="F1" s="36">
        <v>2020</v>
      </c>
      <c r="G1" s="36" t="s">
        <v>8</v>
      </c>
      <c r="H1" s="36" t="s">
        <v>9</v>
      </c>
    </row>
    <row r="2" spans="1:8" ht="15">
      <c r="A2" s="80" t="s">
        <v>2</v>
      </c>
      <c r="B2" s="81"/>
      <c r="C2" s="82"/>
      <c r="D2" s="30">
        <v>583.1</v>
      </c>
      <c r="E2" s="25">
        <v>587.6</v>
      </c>
      <c r="F2" s="25">
        <v>592.7</v>
      </c>
      <c r="G2" s="25" t="s">
        <v>53</v>
      </c>
      <c r="H2" s="26"/>
    </row>
    <row r="3" spans="1:8" ht="15">
      <c r="A3" s="77" t="s">
        <v>3</v>
      </c>
      <c r="B3" s="78"/>
      <c r="C3" s="79"/>
      <c r="D3" s="30">
        <v>629.2</v>
      </c>
      <c r="E3" s="25">
        <v>634.1</v>
      </c>
      <c r="F3" s="25">
        <v>636.2</v>
      </c>
      <c r="G3" s="25" t="s">
        <v>53</v>
      </c>
      <c r="H3" s="26"/>
    </row>
    <row r="4" spans="1:8" ht="15">
      <c r="A4" s="77" t="s">
        <v>12</v>
      </c>
      <c r="B4" s="78"/>
      <c r="C4" s="79"/>
      <c r="D4" s="31">
        <v>235.3</v>
      </c>
      <c r="E4" s="31">
        <v>235.3</v>
      </c>
      <c r="F4" s="31">
        <v>235.3</v>
      </c>
      <c r="G4" s="25" t="s">
        <v>54</v>
      </c>
      <c r="H4" s="26"/>
    </row>
    <row r="5" spans="1:8" ht="15">
      <c r="A5" s="77" t="s">
        <v>4</v>
      </c>
      <c r="B5" s="78"/>
      <c r="C5" s="79"/>
      <c r="D5" s="30">
        <f>134.2/2</f>
        <v>67.1</v>
      </c>
      <c r="E5" s="25">
        <f>136.89/2</f>
        <v>68.445</v>
      </c>
      <c r="F5" s="25">
        <f>139.63/2</f>
        <v>69.815</v>
      </c>
      <c r="G5" s="25" t="s">
        <v>10</v>
      </c>
      <c r="H5" s="26" t="s">
        <v>11</v>
      </c>
    </row>
    <row r="6" spans="1:8" ht="15">
      <c r="A6" s="77" t="s">
        <v>5</v>
      </c>
      <c r="B6" s="78"/>
      <c r="C6" s="79"/>
      <c r="D6" s="30">
        <f>134.2/2</f>
        <v>67.1</v>
      </c>
      <c r="E6" s="25">
        <f>136.89/2</f>
        <v>68.445</v>
      </c>
      <c r="F6" s="25">
        <f>139.63/2</f>
        <v>69.815</v>
      </c>
      <c r="G6" s="25" t="s">
        <v>10</v>
      </c>
      <c r="H6" s="26" t="s">
        <v>11</v>
      </c>
    </row>
    <row r="7" spans="1:8" ht="15">
      <c r="A7" s="77" t="s">
        <v>13</v>
      </c>
      <c r="B7" s="78"/>
      <c r="C7" s="79"/>
      <c r="D7" s="30">
        <f>28/2</f>
        <v>14</v>
      </c>
      <c r="E7" s="25">
        <f>29/2</f>
        <v>14.5</v>
      </c>
      <c r="F7" s="25">
        <f>29/2</f>
        <v>14.5</v>
      </c>
      <c r="G7" s="25" t="s">
        <v>10</v>
      </c>
      <c r="H7" s="26" t="s">
        <v>11</v>
      </c>
    </row>
    <row r="8" spans="1:8" ht="15">
      <c r="A8" s="77" t="s">
        <v>6</v>
      </c>
      <c r="B8" s="78"/>
      <c r="C8" s="79"/>
      <c r="D8" s="30">
        <v>66884</v>
      </c>
      <c r="E8" s="25">
        <v>66884</v>
      </c>
      <c r="F8" s="25">
        <v>66884</v>
      </c>
      <c r="G8" s="25" t="s">
        <v>54</v>
      </c>
      <c r="H8" s="26"/>
    </row>
    <row r="9" spans="1:8" ht="15">
      <c r="A9" s="77" t="s">
        <v>7</v>
      </c>
      <c r="B9" s="78"/>
      <c r="C9" s="79"/>
      <c r="D9" s="30">
        <v>9461</v>
      </c>
      <c r="E9" s="25">
        <v>9461</v>
      </c>
      <c r="F9" s="25">
        <v>9461</v>
      </c>
      <c r="G9" s="25" t="s">
        <v>55</v>
      </c>
      <c r="H9" s="26"/>
    </row>
    <row r="10" spans="1:8" ht="15">
      <c r="A10" s="77" t="s">
        <v>14</v>
      </c>
      <c r="B10" s="78"/>
      <c r="C10" s="79"/>
      <c r="D10" s="30">
        <v>5900</v>
      </c>
      <c r="E10" s="25">
        <v>5900</v>
      </c>
      <c r="F10" s="25">
        <v>5900</v>
      </c>
      <c r="G10" s="25" t="s">
        <v>51</v>
      </c>
      <c r="H10" s="26"/>
    </row>
    <row r="11" spans="1:8" ht="17.25">
      <c r="A11" s="77" t="s">
        <v>50</v>
      </c>
      <c r="B11" s="78"/>
      <c r="C11" s="79"/>
      <c r="D11" s="30">
        <v>1100</v>
      </c>
      <c r="E11" s="25">
        <v>1100</v>
      </c>
      <c r="F11" s="25">
        <v>1100</v>
      </c>
      <c r="G11" s="25" t="s">
        <v>51</v>
      </c>
      <c r="H11" s="26"/>
    </row>
    <row r="12" spans="1:8" ht="15">
      <c r="A12" s="33" t="s">
        <v>15</v>
      </c>
      <c r="B12" s="34"/>
      <c r="C12" s="35"/>
      <c r="D12" s="32">
        <f>4.17/1.115</f>
        <v>3.7399103139013454</v>
      </c>
      <c r="E12" s="27">
        <f>8.4/1.115</f>
        <v>7.533632286995516</v>
      </c>
      <c r="F12" s="27">
        <f>8/1.115</f>
        <v>7.174887892376682</v>
      </c>
      <c r="G12" s="25" t="s">
        <v>18</v>
      </c>
      <c r="H12" s="26"/>
    </row>
    <row r="13" spans="1:8" ht="15">
      <c r="A13" s="33" t="s">
        <v>33</v>
      </c>
      <c r="B13" s="34"/>
      <c r="C13" s="35"/>
      <c r="D13" s="32">
        <v>1.22</v>
      </c>
      <c r="E13" s="27">
        <v>2.3</v>
      </c>
      <c r="F13" s="27">
        <v>2.26</v>
      </c>
      <c r="G13" s="25" t="s">
        <v>18</v>
      </c>
      <c r="H13" s="26"/>
    </row>
    <row r="14" spans="1:8" ht="15">
      <c r="A14" s="33" t="s">
        <v>16</v>
      </c>
      <c r="B14" s="34"/>
      <c r="C14" s="35"/>
      <c r="D14" s="32">
        <f>1.27/1.115</f>
        <v>1.1390134529147982</v>
      </c>
      <c r="E14" s="27">
        <f>2.37/1.115</f>
        <v>2.125560538116592</v>
      </c>
      <c r="F14" s="27">
        <f>5.13/1.115</f>
        <v>4.600896860986547</v>
      </c>
      <c r="G14" s="25" t="s">
        <v>18</v>
      </c>
      <c r="H14" s="26"/>
    </row>
    <row r="15" spans="1:8" ht="15">
      <c r="A15" s="33" t="s">
        <v>17</v>
      </c>
      <c r="B15" s="34"/>
      <c r="C15" s="35"/>
      <c r="D15" s="32">
        <f>0.18/1.157</f>
        <v>0.15557476231633535</v>
      </c>
      <c r="E15" s="27">
        <f>0.31/1.157</f>
        <v>0.2679343128781331</v>
      </c>
      <c r="F15" s="27">
        <f>0.62/1.157</f>
        <v>0.5358686257562661</v>
      </c>
      <c r="G15" s="25" t="s">
        <v>18</v>
      </c>
      <c r="H15" s="26"/>
    </row>
    <row r="16" spans="1:8" ht="15">
      <c r="A16" s="42" t="s">
        <v>23</v>
      </c>
      <c r="B16" s="25"/>
      <c r="C16" s="26"/>
      <c r="D16" s="21">
        <v>2010739</v>
      </c>
      <c r="E16" s="11">
        <v>3317396</v>
      </c>
      <c r="F16" s="11">
        <v>3879354</v>
      </c>
      <c r="G16" s="25" t="s">
        <v>18</v>
      </c>
      <c r="H16" s="26"/>
    </row>
    <row r="17" spans="1:8" ht="15.75" thickBot="1">
      <c r="A17" s="41" t="s">
        <v>24</v>
      </c>
      <c r="B17" s="28"/>
      <c r="C17" s="29"/>
      <c r="D17" s="22">
        <v>758458</v>
      </c>
      <c r="E17" s="16">
        <v>1343388</v>
      </c>
      <c r="F17" s="16">
        <v>2003710</v>
      </c>
      <c r="G17" s="28" t="s">
        <v>18</v>
      </c>
      <c r="H17" s="29"/>
    </row>
    <row r="22" ht="15">
      <c r="G22" s="5"/>
    </row>
  </sheetData>
  <sheetProtection/>
  <mergeCells count="11">
    <mergeCell ref="A1:C1"/>
    <mergeCell ref="A9:C9"/>
    <mergeCell ref="A10:C10"/>
    <mergeCell ref="A11:C11"/>
    <mergeCell ref="A2:C2"/>
    <mergeCell ref="A3:C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Province of Prince Edward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 IR 30 Attachment 1</dc:title>
  <dc:subject/>
  <dc:creator>Mike P. Proud</dc:creator>
  <cp:keywords/>
  <dc:description/>
  <cp:lastModifiedBy>Donna Chandler</cp:lastModifiedBy>
  <dcterms:created xsi:type="dcterms:W3CDTF">2018-09-14T13:41:28Z</dcterms:created>
  <dcterms:modified xsi:type="dcterms:W3CDTF">2018-10-05T13:03:27Z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0x010100AB1A0880EAF5564F80DA6A08BB46F033</vt:lpwstr>
  </property>
  <property fmtid="{D5CDD505-2E9C-101B-9397-08002B2CF9AE}" pid="3" name="_Version">
    <vt:lpwstr/>
  </property>
  <property fmtid="{D5CDD505-2E9C-101B-9397-08002B2CF9AE}" pid="4" name="_DCDateModified">
    <vt:lpwstr>2018-09-21T11:00:00Z</vt:lpwstr>
  </property>
  <property fmtid="{D5CDD505-2E9C-101B-9397-08002B2CF9AE}" pid="5" name="AssignedTo">
    <vt:lpwstr>67;#Cora Porter</vt:lpwstr>
  </property>
  <property fmtid="{D5CDD505-2E9C-101B-9397-08002B2CF9AE}" pid="6" name="_Status">
    <vt:lpwstr>Not Started</vt:lpwstr>
  </property>
  <property fmtid="{D5CDD505-2E9C-101B-9397-08002B2CF9AE}" pid="7" name="Priority">
    <vt:lpwstr>(2) Normal</vt:lpwstr>
  </property>
  <property fmtid="{D5CDD505-2E9C-101B-9397-08002B2CF9AE}" pid="8" name="Action">
    <vt:lpwstr>Review</vt:lpwstr>
  </property>
  <property fmtid="{D5CDD505-2E9C-101B-9397-08002B2CF9AE}" pid="9" name="Owner">
    <vt:lpwstr>68;#Matt Davidson</vt:lpwstr>
  </property>
</Properties>
</file>