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685" windowWidth="7650" windowHeight="6030" tabRatio="834" firstSheet="5" activeTab="5"/>
  </bookViews>
  <sheets>
    <sheet name="Sheet1" sheetId="1" state="hidden" r:id="rId1"/>
    <sheet name="monthly rev adj" sheetId="2" state="hidden" r:id="rId2"/>
    <sheet name="Sect 4 Appendix" sheetId="3" state="hidden" r:id="rId3"/>
    <sheet name="COC" sheetId="4" state="hidden" r:id="rId4"/>
    <sheet name="Sect 3.1" sheetId="5" state="hidden" r:id="rId5"/>
    <sheet name="ECAM 04-05" sheetId="6" r:id="rId6"/>
    <sheet name="BillToCust" sheetId="7" state="hidden" r:id="rId7"/>
    <sheet name="Sheet2" sheetId="8" state="hidden" r:id="rId8"/>
    <sheet name="2003 Rebate exposure" sheetId="9" state="hidden" r:id="rId9"/>
  </sheets>
  <definedNames>
    <definedName name="_xlnm.Print_Area" localSheetId="5">'ECAM 04-05'!$A$1:$N$422</definedName>
    <definedName name="_xlnm.Print_Area" localSheetId="1">'monthly rev adj'!$A$1:$AA$85</definedName>
    <definedName name="_xlnm.Print_Area" localSheetId="4">'Sect 3.1'!$A$1:$B$17</definedName>
    <definedName name="_xlnm.Print_Area" localSheetId="2">'Sect 4 Appendix'!$A$1:$AP$55</definedName>
    <definedName name="_xlnm.Print_Titles" localSheetId="5">'ECAM 04-05'!$1:$3</definedName>
    <definedName name="_xlnm.Print_Titles" localSheetId="2">'Sect 4 Appendix'!$A:$A</definedName>
  </definedNames>
  <calcPr fullCalcOnLoad="1"/>
</workbook>
</file>

<file path=xl/comments3.xml><?xml version="1.0" encoding="utf-8"?>
<comments xmlns="http://schemas.openxmlformats.org/spreadsheetml/2006/main">
  <authors>
    <author>D. Auld</author>
    <author>D Auld</author>
    <author>IT Services</author>
    <author>RJY</author>
    <author>Rolly Young</author>
  </authors>
  <commentList>
    <comment ref="G15" authorId="0">
      <text>
        <r>
          <rPr>
            <b/>
            <sz val="8"/>
            <rFont val="Tahoma"/>
            <family val="2"/>
          </rPr>
          <t>D. Auld:</t>
        </r>
        <r>
          <rPr>
            <sz val="8"/>
            <rFont val="Tahoma"/>
            <family val="2"/>
          </rPr>
          <t xml:space="preserve">
Revised by RLB on Jan 7/02 from 86322950 to 86322455</t>
        </r>
      </text>
    </comment>
    <comment ref="L15" authorId="0">
      <text>
        <r>
          <rPr>
            <b/>
            <sz val="8"/>
            <rFont val="Tahoma"/>
            <family val="2"/>
          </rPr>
          <t>D. Auld:</t>
        </r>
        <r>
          <rPr>
            <sz val="8"/>
            <rFont val="Tahoma"/>
            <family val="2"/>
          </rPr>
          <t xml:space="preserve">
Revised by RLB on Jan 7/02 from 90,600,228 to 89,270,228</t>
        </r>
      </text>
    </comment>
    <comment ref="O15" authorId="1">
      <text>
        <r>
          <rPr>
            <b/>
            <sz val="8"/>
            <rFont val="Tahoma"/>
            <family val="2"/>
          </rPr>
          <t>D Auld:</t>
        </r>
        <r>
          <rPr>
            <sz val="8"/>
            <rFont val="Tahoma"/>
            <family val="2"/>
          </rPr>
          <t xml:space="preserve">
January 2002 NPP + adjustments relating to NPP for Nov &amp; Dec 2001 due to billing changes by Emera &amp; NBPower
Less Summerside generation</t>
        </r>
      </text>
    </comment>
    <comment ref="P15" authorId="1">
      <text>
        <r>
          <rPr>
            <b/>
            <sz val="8"/>
            <rFont val="Tahoma"/>
            <family val="2"/>
          </rPr>
          <t>D Auld:</t>
        </r>
        <r>
          <rPr>
            <sz val="8"/>
            <rFont val="Tahoma"/>
            <family val="2"/>
          </rPr>
          <t xml:space="preserve">
NPP per Ron less Summerside's own generation for which we have no costs</t>
        </r>
      </text>
    </comment>
    <comment ref="Z10" authorId="2">
      <text>
        <r>
          <rPr>
            <b/>
            <sz val="8"/>
            <rFont val="Tahoma"/>
            <family val="2"/>
          </rPr>
          <t>IT Services:</t>
        </r>
        <r>
          <rPr>
            <sz val="8"/>
            <rFont val="Tahoma"/>
            <family val="2"/>
          </rPr>
          <t xml:space="preserve">
adjust formula
</t>
        </r>
      </text>
    </comment>
    <comment ref="Y15" authorId="2">
      <text>
        <r>
          <rPr>
            <b/>
            <sz val="12"/>
            <rFont val="Tahoma"/>
            <family val="2"/>
          </rPr>
          <t>IT Services:</t>
        </r>
        <r>
          <rPr>
            <sz val="12"/>
            <rFont val="Tahoma"/>
            <family val="2"/>
          </rPr>
          <t xml:space="preserve">
NPP was revised after running final 12/10/2002
s'side added 2463kWh</t>
        </r>
        <r>
          <rPr>
            <sz val="8"/>
            <rFont val="Tahoma"/>
            <family val="2"/>
          </rPr>
          <t xml:space="preserve">
</t>
        </r>
      </text>
    </comment>
    <comment ref="Z15" authorId="3">
      <text>
        <r>
          <rPr>
            <b/>
            <sz val="8"/>
            <rFont val="Tahoma"/>
            <family val="2"/>
          </rPr>
          <t>RJY:</t>
        </r>
        <r>
          <rPr>
            <sz val="8"/>
            <rFont val="Tahoma"/>
            <family val="2"/>
          </rPr>
          <t xml:space="preserve">
adj for Ytd variance
</t>
        </r>
      </text>
    </comment>
    <comment ref="AD15" authorId="3">
      <text>
        <r>
          <rPr>
            <b/>
            <sz val="8"/>
            <rFont val="Tahoma"/>
            <family val="2"/>
          </rPr>
          <t>RJY:</t>
        </r>
        <r>
          <rPr>
            <sz val="8"/>
            <rFont val="Tahoma"/>
            <family val="2"/>
          </rPr>
          <t xml:space="preserve">
NPP MECL GEN &amp; PUR 
</t>
        </r>
      </text>
    </comment>
    <comment ref="AI15" authorId="4">
      <text>
        <r>
          <rPr>
            <b/>
            <sz val="12"/>
            <rFont val="Tahoma"/>
            <family val="2"/>
          </rPr>
          <t>Rolly Young:</t>
        </r>
        <r>
          <rPr>
            <sz val="12"/>
            <rFont val="Tahoma"/>
            <family val="2"/>
          </rPr>
          <t xml:space="preserve">
may NPP was under estimated, actuals received June 9 after closing</t>
        </r>
        <r>
          <rPr>
            <sz val="8"/>
            <rFont val="Tahoma"/>
            <family val="2"/>
          </rPr>
          <t xml:space="preserve">
</t>
        </r>
      </text>
    </comment>
    <comment ref="AM15" authorId="4">
      <text>
        <r>
          <rPr>
            <b/>
            <sz val="8"/>
            <rFont val="Tahoma"/>
            <family val="2"/>
          </rPr>
          <t>Rolly Young:</t>
        </r>
        <r>
          <rPr>
            <sz val="8"/>
            <rFont val="Tahoma"/>
            <family val="2"/>
          </rPr>
          <t xml:space="preserve">
sep NPP was over estimated, actuals received  October 7 after closing
</t>
        </r>
      </text>
    </comment>
    <comment ref="AN15" authorId="4">
      <text>
        <r>
          <rPr>
            <b/>
            <sz val="14"/>
            <rFont val="Tahoma"/>
            <family val="2"/>
          </rPr>
          <t>Rolly Young:</t>
        </r>
        <r>
          <rPr>
            <sz val="14"/>
            <rFont val="Tahoma"/>
            <family val="2"/>
          </rPr>
          <t xml:space="preserve">
October NB Power estimate over 5,000kWh
Sale to Emera 300,000
after month end</t>
        </r>
        <r>
          <rPr>
            <sz val="8"/>
            <rFont val="Tahoma"/>
            <family val="2"/>
          </rPr>
          <t xml:space="preserve">
</t>
        </r>
      </text>
    </comment>
    <comment ref="AO15" authorId="4">
      <text>
        <r>
          <rPr>
            <b/>
            <sz val="8"/>
            <rFont val="Tahoma"/>
            <family val="2"/>
          </rPr>
          <t>Rolly Young:</t>
        </r>
        <r>
          <rPr>
            <sz val="8"/>
            <rFont val="Tahoma"/>
            <family val="2"/>
          </rPr>
          <t xml:space="preserve">
emera should have been subtracted in November NPP
</t>
        </r>
      </text>
    </comment>
  </commentList>
</comments>
</file>

<file path=xl/sharedStrings.xml><?xml version="1.0" encoding="utf-8"?>
<sst xmlns="http://schemas.openxmlformats.org/spreadsheetml/2006/main" count="290" uniqueCount="221">
  <si>
    <t>Y-T-D Surcharge Reconciliation Aug 2001</t>
  </si>
  <si>
    <t>ytd</t>
  </si>
  <si>
    <t>Calc per array</t>
  </si>
  <si>
    <t>Diff</t>
  </si>
  <si>
    <t>Diff as per Summary Report</t>
  </si>
  <si>
    <t>J</t>
  </si>
  <si>
    <t>Summary</t>
  </si>
  <si>
    <t>Monthly</t>
  </si>
  <si>
    <t>Reports</t>
  </si>
  <si>
    <t xml:space="preserve">Control </t>
  </si>
  <si>
    <t>Newly</t>
  </si>
  <si>
    <t>Produced</t>
  </si>
  <si>
    <t>City of Summerside</t>
  </si>
  <si>
    <t>* January Surcharge was erroneously calculated - City of Summerside was not subject to increase</t>
  </si>
  <si>
    <t>*Must be removed from Jan Total</t>
  </si>
  <si>
    <t>GST not included above</t>
  </si>
  <si>
    <t>May Report</t>
  </si>
  <si>
    <t>Difference</t>
  </si>
  <si>
    <t>RATE CATEG</t>
  </si>
  <si>
    <t>RESIDENTIAL URBAN</t>
  </si>
  <si>
    <t>RESIDENTIAL RURAL</t>
  </si>
  <si>
    <t>RESIDENTIAL SEASONAL 1</t>
  </si>
  <si>
    <t>RESIDENTIAL SEASONAL 2</t>
  </si>
  <si>
    <t>GENERAL SERVICE 1</t>
  </si>
  <si>
    <t>GENERAL SERVICE SEASONAL</t>
  </si>
  <si>
    <t>GENERAL SERVICE 2</t>
  </si>
  <si>
    <t>LARGE INDUSTRIAL</t>
  </si>
  <si>
    <t>SMALL INDUSTRIAL</t>
  </si>
  <si>
    <t>WHOLESALE 1 YEAR CONTRACT</t>
  </si>
  <si>
    <t>WHOLESALE 10 YEAR CONTRACT</t>
  </si>
  <si>
    <t>POLE RENTAL - WOOD</t>
  </si>
  <si>
    <t>POLE RENTAL - CONCRETE</t>
  </si>
  <si>
    <t>200 W HPS ST LIGHTS - RENTED</t>
  </si>
  <si>
    <t>70 W HPS ST LIGHTS - RENTED</t>
  </si>
  <si>
    <t>100 W HPS ST LIGHTS - RENTED</t>
  </si>
  <si>
    <t>150 W HPS ST LIGHTS - RENTED</t>
  </si>
  <si>
    <t>250 W HPS ST LIGHTS - RENTED</t>
  </si>
  <si>
    <t>400 W HPS ST LIGHTS - RENTED</t>
  </si>
  <si>
    <t>125 W MV ST LIGHTS - RENTED</t>
  </si>
  <si>
    <t>175 W MV ST LIGHTS - RENTED</t>
  </si>
  <si>
    <t>250 W MV ST LIGHTS - RENTED</t>
  </si>
  <si>
    <t>400 W MV ST LIGHTS - RENTED</t>
  </si>
  <si>
    <t>70 W CITY LANTERNS - RENTED</t>
  </si>
  <si>
    <t>70 W HPS ST LIGHTS - OWNED</t>
  </si>
  <si>
    <t>100 W HPS ST LIGHTS - OWNED</t>
  </si>
  <si>
    <t>150 W HPS ST LIGHTS - OWNED</t>
  </si>
  <si>
    <t>250 W HPS ST LIGHTS - OWNED</t>
  </si>
  <si>
    <t>400 W HPS ST LIGHTS - OWNED</t>
  </si>
  <si>
    <t>125 W MV ST LIGHTS - OWNED</t>
  </si>
  <si>
    <t>175 W MV ST LIGHTS - OWNED</t>
  </si>
  <si>
    <t>250 W MV ST LIGHTS - OWNED</t>
  </si>
  <si>
    <t>400 W MV ST LIGHTS - OWNED</t>
  </si>
  <si>
    <t>200 W HPS ST LIGHTS - OWNED</t>
  </si>
  <si>
    <t>200 W HPS YARD LIGHTS - RENT</t>
  </si>
  <si>
    <t>70 W HPS YARD LIGHTS - RENT</t>
  </si>
  <si>
    <t>100 W HPS YARD LIGHTS - RENT</t>
  </si>
  <si>
    <t>150 W HPS YARD LIGHTS - RENT</t>
  </si>
  <si>
    <t>250 W HPS YARD LIGHTS - RENT</t>
  </si>
  <si>
    <t>400 W HPS YARD LIGHTS - RENT</t>
  </si>
  <si>
    <t>125 W MV YARD LIGHTS - RENTE</t>
  </si>
  <si>
    <t>175 W MV YARD LIGHTS - RENTE</t>
  </si>
  <si>
    <t>250 W MV YARD LIGHTS - RENTE</t>
  </si>
  <si>
    <t>400 W MV YARD LIGHTS - RENTE</t>
  </si>
  <si>
    <t>70 W HPS YARD LIGHTS - OWNE</t>
  </si>
  <si>
    <t>100 W HPS YARD LIGHTS - OWNE</t>
  </si>
  <si>
    <t>150 W HPS YARD LIGHTS - OWNE</t>
  </si>
  <si>
    <t>250 W HPS YARD LIGHTS - OWNE</t>
  </si>
  <si>
    <t>400 W HPS YARD LIGHTS - OWNE</t>
  </si>
  <si>
    <t>125 W MV YARD LIGHTS - OWNED</t>
  </si>
  <si>
    <t>175 W MV YARD LIGHTS - OWNED</t>
  </si>
  <si>
    <t>250 W MV YARD LIGHTS - OWNED</t>
  </si>
  <si>
    <t>400 W MV YARD LIGHTS - OWNED</t>
  </si>
  <si>
    <t>180 W LPS YARD LIGHTS - OWNE</t>
  </si>
  <si>
    <t>200 W HPS YARD LIGHTS - OWNE</t>
  </si>
  <si>
    <t>135 W LPS YARD LIGHTS - OWNE</t>
  </si>
  <si>
    <t>8 HOUR LIGHTING</t>
  </si>
  <si>
    <t>12 HOUR LIGHTING</t>
  </si>
  <si>
    <t>24 HOUR LIGHTING</t>
  </si>
  <si>
    <t>AIR RAID &amp; FIRE SIRENS</t>
  </si>
  <si>
    <t>OUTDOOR CHRISTMAS LIGHTING</t>
  </si>
  <si>
    <t>Per control reports</t>
  </si>
  <si>
    <t>Unreconciled difference</t>
  </si>
  <si>
    <t>acct</t>
  </si>
  <si>
    <t>6200 Total</t>
  </si>
  <si>
    <t>6210 Total</t>
  </si>
  <si>
    <t>6211 Total</t>
  </si>
  <si>
    <t>6250 Total</t>
  </si>
  <si>
    <t>6220 Total</t>
  </si>
  <si>
    <t>6300 Total</t>
  </si>
  <si>
    <t>6230 Total</t>
  </si>
  <si>
    <t>6240 Total</t>
  </si>
  <si>
    <t>Grand Total</t>
  </si>
  <si>
    <t>Totals</t>
  </si>
  <si>
    <t>Sales/NPP</t>
  </si>
  <si>
    <t>revised residential</t>
  </si>
  <si>
    <t>Quarterly amounts</t>
  </si>
  <si>
    <t>Balance Sheet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</si>
  <si>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</si>
  <si>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</si>
  <si>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</si>
  <si>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</si>
  <si>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</si>
  <si>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</si>
  <si>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</si>
  <si>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</si>
  <si>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</si>
  <si>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</si>
  <si>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</si>
  <si>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</si>
  <si>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</si>
  <si>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2001 Totals</t>
  </si>
  <si>
    <t>Jan01-Jan02</t>
  </si>
  <si>
    <t>GS1</t>
  </si>
  <si>
    <t>GS2</t>
  </si>
  <si>
    <t>Lg Ind</t>
  </si>
  <si>
    <t>Sm Ind</t>
  </si>
  <si>
    <t>Wholesale</t>
  </si>
  <si>
    <t>St Light</t>
  </si>
  <si>
    <t>Unmetered</t>
  </si>
  <si>
    <t>Jan01-Feb02</t>
  </si>
  <si>
    <t xml:space="preserve"> </t>
  </si>
  <si>
    <t>Summerside bill with 4.53%</t>
  </si>
  <si>
    <t>Summerside bill with out 4.53%</t>
  </si>
  <si>
    <t>Jan01-Mar02</t>
  </si>
  <si>
    <t>COC</t>
  </si>
  <si>
    <t>Opening Balance</t>
  </si>
  <si>
    <t>Repayment to customer</t>
  </si>
  <si>
    <t>Balance per GL 3107</t>
  </si>
  <si>
    <t>Additions</t>
  </si>
  <si>
    <t>Residential</t>
  </si>
  <si>
    <t>Large Industrial</t>
  </si>
  <si>
    <t>Cavendish</t>
  </si>
  <si>
    <t>McCain</t>
  </si>
  <si>
    <t>AgraWest</t>
  </si>
  <si>
    <t>Georgetown</t>
  </si>
  <si>
    <t>Rebate Balance at 01/01/2003</t>
  </si>
  <si>
    <t>Rebate Rate</t>
  </si>
  <si>
    <t xml:space="preserve">Forecast Revenue </t>
  </si>
  <si>
    <t>Forecast Rebate</t>
  </si>
  <si>
    <t>Q103 Total</t>
  </si>
  <si>
    <t>Balance</t>
  </si>
  <si>
    <t>Over Rebat in 2002</t>
  </si>
  <si>
    <t>ECAM</t>
  </si>
  <si>
    <t>LI</t>
  </si>
  <si>
    <t>SI</t>
  </si>
  <si>
    <t>Lights</t>
  </si>
  <si>
    <t>Flat</t>
  </si>
  <si>
    <t>G'Timber</t>
  </si>
  <si>
    <t>Agarwest</t>
  </si>
  <si>
    <t>MARITIME ELECTRIC COMPANY,LIMITED</t>
  </si>
  <si>
    <t>CONTINUITY SCHEDULE-COSTS RECOVERABLE FROM CUSTOMERS</t>
  </si>
  <si>
    <t>2003 Year</t>
  </si>
  <si>
    <t>Line</t>
  </si>
  <si>
    <t>C.Costs Recoverable From Customers</t>
  </si>
  <si>
    <t>A. Energy Cost Adjustment Mechanism</t>
  </si>
  <si>
    <t>Calc.</t>
  </si>
  <si>
    <t>Amortization-Lepreau Deferred Charges</t>
  </si>
  <si>
    <t xml:space="preserve">Base Energy Costs </t>
  </si>
  <si>
    <t>Purchased Energy Costs</t>
  </si>
  <si>
    <t>Lepreau Energy Costs</t>
  </si>
  <si>
    <t>Dalhousie Energy Costs</t>
  </si>
  <si>
    <t>Generation Fuel Costs-PEI Plants</t>
  </si>
  <si>
    <t>PEI Plant Operating Costs</t>
  </si>
  <si>
    <t>YEAR ENDED DECEMBER 31,2003 (BY MONTH)</t>
  </si>
  <si>
    <t>Notes:</t>
  </si>
  <si>
    <t>line 7 - total of lines 1 through 6</t>
  </si>
  <si>
    <t>line 10 - line 8 times line 9</t>
  </si>
  <si>
    <t>line 13 - line 11 times line 12</t>
  </si>
  <si>
    <t>line 15 - equals line 13</t>
  </si>
  <si>
    <t>line 17 - total of lines 14 through 16</t>
  </si>
  <si>
    <t>line 21 - total of lines 18 through 20</t>
  </si>
  <si>
    <t>line 22 - equals line 17 plus line 21</t>
  </si>
  <si>
    <t>Appendix A</t>
  </si>
  <si>
    <t>Net 2004 Purchased &amp; Produced Energy-KWh (NPP)</t>
  </si>
  <si>
    <t>Base Rate/KWh</t>
  </si>
  <si>
    <t>Total 2004 ECAM Eligible Energy Costs</t>
  </si>
  <si>
    <t>SCHEDULE 3.1-1</t>
  </si>
  <si>
    <t>Energy Cost Adjustment Mechanism (ECAM)</t>
  </si>
  <si>
    <t>CALCULATION OF ECAM BASE RATE PER KWh</t>
  </si>
  <si>
    <t>kWh Sales</t>
  </si>
  <si>
    <t>Sales to NPP</t>
  </si>
  <si>
    <t>NPP - Normalized</t>
  </si>
  <si>
    <t>NPP - Actual/Forecast</t>
  </si>
  <si>
    <t>Base Rate/kWh</t>
  </si>
  <si>
    <t>Adjustment to ECAM</t>
  </si>
  <si>
    <r>
      <t>22</t>
    </r>
    <r>
      <rPr>
        <sz val="14"/>
        <rFont val="Arial"/>
        <family val="2"/>
      </rPr>
      <t>. ECAM recovery rate per kWh (Post 2006)</t>
    </r>
  </si>
  <si>
    <r>
      <t>23</t>
    </r>
    <r>
      <rPr>
        <sz val="14"/>
        <rFont val="Arial"/>
        <family val="2"/>
      </rPr>
      <t>. ECAM rebate rate per kWh (2006 ECAM)</t>
    </r>
  </si>
  <si>
    <r>
      <t>26</t>
    </r>
    <r>
      <rPr>
        <sz val="14"/>
        <rFont val="Arial"/>
        <family val="2"/>
      </rPr>
      <t>. Cost to General Service Customer (for 10,000 kWh)</t>
    </r>
  </si>
  <si>
    <r>
      <t>20</t>
    </r>
    <r>
      <rPr>
        <sz val="14"/>
        <rFont val="Arial"/>
        <family val="2"/>
      </rPr>
      <t>. Energy Sales - kWh</t>
    </r>
  </si>
  <si>
    <r>
      <t>21</t>
    </r>
    <r>
      <rPr>
        <sz val="14"/>
        <rFont val="Arial"/>
        <family val="2"/>
      </rPr>
      <t>. Collection Period (months)</t>
    </r>
  </si>
  <si>
    <r>
      <t>22</t>
    </r>
    <r>
      <rPr>
        <sz val="14"/>
        <rFont val="Arial"/>
        <family val="2"/>
      </rPr>
      <t>. ECAM recovery amount</t>
    </r>
  </si>
  <si>
    <r>
      <t>24</t>
    </r>
    <r>
      <rPr>
        <sz val="14"/>
        <rFont val="Arial"/>
        <family val="2"/>
      </rPr>
      <t xml:space="preserve">. ECAM recovery rate per kWh </t>
    </r>
  </si>
  <si>
    <r>
      <t xml:space="preserve">7. </t>
    </r>
    <r>
      <rPr>
        <sz val="14"/>
        <rFont val="Arial"/>
        <family val="2"/>
      </rPr>
      <t>Amortization of Pt Lepreau Replacement Costs</t>
    </r>
  </si>
  <si>
    <t>Sales</t>
  </si>
  <si>
    <t>Amortization - Pt Lepreau Deferred Charge &amp; DSM</t>
  </si>
  <si>
    <t>Renewable Energy Costs</t>
  </si>
  <si>
    <t>Current Month Replacement Energy Costs</t>
  </si>
  <si>
    <t>Net Purchased &amp; Produced Energy - kWh (NPP)</t>
  </si>
  <si>
    <t>Difference Between Actual &amp; Base Energy Costs</t>
  </si>
  <si>
    <t>Opening Balance - Pt Lepreau Replacement Costs</t>
  </si>
  <si>
    <t>Additions (Reductions)</t>
  </si>
  <si>
    <t>Closing Balance - Pt Lepreau Replacement Costs</t>
  </si>
  <si>
    <t>Opening Balance - Regular ECAM</t>
  </si>
  <si>
    <t>Additions/(Reductions)</t>
  </si>
  <si>
    <t>Rebated/(Collected) From Ratepayer</t>
  </si>
  <si>
    <t xml:space="preserve">Closing Balance - Regular ECAM </t>
  </si>
  <si>
    <t>General Ledger Closing Balance</t>
  </si>
  <si>
    <t>Cost to Residential Customer  (650 kWh/Month)</t>
  </si>
  <si>
    <t xml:space="preserve">Lepreau Replacement Energy </t>
  </si>
  <si>
    <t>Regular ECAM</t>
  </si>
  <si>
    <t>Total ECAM</t>
  </si>
  <si>
    <t>Cost to Residential Customer (650 kWh/Month)</t>
  </si>
  <si>
    <t>Cost to General Service Customer (for 10,000 kWh)</t>
  </si>
  <si>
    <t>Cost to Residential Customer (for 650 kWh)</t>
  </si>
  <si>
    <t>Energy Cost Adjustment Mechanism</t>
  </si>
  <si>
    <t>Total Energy Costs - Incl Pt Lepreau Replacement</t>
  </si>
  <si>
    <t>Less: Insurance, Property Tax &amp; Training</t>
  </si>
  <si>
    <t>Opening Balance - ECAM</t>
  </si>
  <si>
    <t xml:space="preserve">Closing Balance - ECAM </t>
  </si>
  <si>
    <t>APPENDIX 4</t>
  </si>
  <si>
    <t>Forecast Monthly ECAM Calculation - January 1, 2019 to December 31,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</si>
</sst>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0_);\(#,##0.00000\)"/>
    <numFmt numFmtId="167" formatCode="&quot;$&quot;#,##0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0.00000"/>
    <numFmt numFmtId="171" formatCode="_(* #,##0.00000_);_(* \(#,##0.00000\);_(* &quot;-&quot;??_);_(@_)"/>
    <numFmt numFmtId="172" formatCode="_(&quot;$&quot;* #,##0_);_(&quot;$&quot;* \(#,##0\);_(&quot;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0"/>
      <color indexed="37"/>
      <name val="Arial"/>
      <family val="2"/>
    </font>
    <font>
      <b/>
      <sz val="14"/>
      <color indexed="37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 style="thin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" fontId="0" fillId="0" borderId="0" xfId="0" applyNumberFormat="1" applyAlignment="1">
      <alignment/>
    </xf>
    <xf numFmtId="43" fontId="0" fillId="0" borderId="0" xfId="42" applyFont="1" applyAlignment="1">
      <alignment/>
    </xf>
    <xf numFmtId="43" fontId="2" fillId="0" borderId="0" xfId="42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6" fontId="7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7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40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38" fontId="0" fillId="0" borderId="0" xfId="42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42" applyNumberFormat="1" applyFont="1" applyAlignment="1">
      <alignment/>
    </xf>
    <xf numFmtId="1" fontId="1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9" fontId="10" fillId="0" borderId="0" xfId="0" applyNumberFormat="1" applyFont="1" applyAlignment="1">
      <alignment/>
    </xf>
    <xf numFmtId="9" fontId="10" fillId="0" borderId="0" xfId="57" applyFont="1" applyAlignment="1">
      <alignment/>
    </xf>
    <xf numFmtId="1" fontId="10" fillId="0" borderId="0" xfId="57" applyNumberFormat="1" applyFont="1" applyAlignment="1">
      <alignment horizontal="center"/>
    </xf>
    <xf numFmtId="9" fontId="10" fillId="0" borderId="1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64" fontId="10" fillId="0" borderId="0" xfId="42" applyNumberFormat="1" applyFont="1" applyAlignment="1">
      <alignment/>
    </xf>
    <xf numFmtId="1" fontId="10" fillId="0" borderId="0" xfId="42" applyNumberFormat="1" applyFont="1" applyAlignment="1">
      <alignment horizontal="center"/>
    </xf>
    <xf numFmtId="164" fontId="10" fillId="0" borderId="10" xfId="42" applyNumberFormat="1" applyFont="1" applyBorder="1" applyAlignment="1">
      <alignment/>
    </xf>
    <xf numFmtId="164" fontId="10" fillId="0" borderId="11" xfId="42" applyNumberFormat="1" applyFont="1" applyBorder="1" applyAlignment="1">
      <alignment/>
    </xf>
    <xf numFmtId="164" fontId="10" fillId="0" borderId="12" xfId="42" applyNumberFormat="1" applyFont="1" applyBorder="1" applyAlignment="1">
      <alignment/>
    </xf>
    <xf numFmtId="164" fontId="10" fillId="0" borderId="15" xfId="42" applyNumberFormat="1" applyFont="1" applyBorder="1" applyAlignment="1">
      <alignment/>
    </xf>
    <xf numFmtId="164" fontId="10" fillId="0" borderId="16" xfId="42" applyNumberFormat="1" applyFont="1" applyBorder="1" applyAlignment="1">
      <alignment/>
    </xf>
    <xf numFmtId="164" fontId="10" fillId="0" borderId="0" xfId="0" applyNumberFormat="1" applyFont="1" applyAlignment="1">
      <alignment/>
    </xf>
    <xf numFmtId="43" fontId="10" fillId="0" borderId="0" xfId="42" applyFont="1" applyAlignment="1">
      <alignment/>
    </xf>
    <xf numFmtId="38" fontId="10" fillId="0" borderId="0" xfId="42" applyNumberFormat="1" applyFont="1" applyAlignment="1">
      <alignment/>
    </xf>
    <xf numFmtId="37" fontId="10" fillId="0" borderId="0" xfId="42" applyNumberFormat="1" applyFont="1" applyAlignment="1">
      <alignment/>
    </xf>
    <xf numFmtId="37" fontId="10" fillId="0" borderId="10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7" fontId="10" fillId="0" borderId="15" xfId="42" applyNumberFormat="1" applyFont="1" applyBorder="1" applyAlignment="1">
      <alignment/>
    </xf>
    <xf numFmtId="37" fontId="10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15" fontId="12" fillId="0" borderId="11" xfId="0" applyNumberFormat="1" applyFont="1" applyBorder="1" applyAlignment="1">
      <alignment/>
    </xf>
    <xf numFmtId="5" fontId="11" fillId="0" borderId="18" xfId="0" applyNumberFormat="1" applyFont="1" applyBorder="1" applyAlignment="1">
      <alignment/>
    </xf>
    <xf numFmtId="5" fontId="11" fillId="0" borderId="19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11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167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3" xfId="0" applyNumberFormat="1" applyFont="1" applyBorder="1" applyAlignment="1">
      <alignment/>
    </xf>
    <xf numFmtId="168" fontId="0" fillId="0" borderId="24" xfId="44" applyNumberFormat="1" applyFont="1" applyBorder="1" applyAlignment="1">
      <alignment/>
    </xf>
    <xf numFmtId="0" fontId="0" fillId="0" borderId="25" xfId="0" applyBorder="1" applyAlignment="1">
      <alignment/>
    </xf>
    <xf numFmtId="0" fontId="12" fillId="0" borderId="21" xfId="0" applyFont="1" applyBorder="1" applyAlignment="1">
      <alignment/>
    </xf>
    <xf numFmtId="0" fontId="19" fillId="0" borderId="0" xfId="0" applyFont="1" applyAlignment="1">
      <alignment/>
    </xf>
    <xf numFmtId="44" fontId="0" fillId="0" borderId="18" xfId="44" applyFont="1" applyBorder="1" applyAlignment="1">
      <alignment/>
    </xf>
    <xf numFmtId="44" fontId="0" fillId="0" borderId="18" xfId="0" applyNumberFormat="1" applyBorder="1" applyAlignment="1">
      <alignment/>
    </xf>
    <xf numFmtId="0" fontId="20" fillId="0" borderId="0" xfId="0" applyFont="1" applyAlignment="1">
      <alignment/>
    </xf>
    <xf numFmtId="44" fontId="0" fillId="0" borderId="0" xfId="44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37" fontId="0" fillId="0" borderId="0" xfId="0" applyNumberFormat="1" applyAlignment="1">
      <alignment/>
    </xf>
    <xf numFmtId="165" fontId="0" fillId="0" borderId="11" xfId="57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0" xfId="42" applyNumberFormat="1" applyFont="1" applyFill="1" applyAlignment="1">
      <alignment/>
    </xf>
    <xf numFmtId="44" fontId="19" fillId="0" borderId="0" xfId="0" applyNumberFormat="1" applyFont="1" applyAlignment="1">
      <alignment/>
    </xf>
    <xf numFmtId="164" fontId="0" fillId="0" borderId="11" xfId="0" applyNumberFormat="1" applyBorder="1" applyAlignment="1">
      <alignment/>
    </xf>
    <xf numFmtId="168" fontId="0" fillId="0" borderId="11" xfId="44" applyNumberFormat="1" applyFont="1" applyBorder="1" applyAlignment="1">
      <alignment/>
    </xf>
    <xf numFmtId="44" fontId="19" fillId="0" borderId="0" xfId="44" applyFont="1" applyFill="1" applyBorder="1" applyAlignment="1">
      <alignment/>
    </xf>
    <xf numFmtId="44" fontId="1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" fontId="1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44" fontId="0" fillId="0" borderId="18" xfId="44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3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0" fontId="20" fillId="0" borderId="0" xfId="0" applyFont="1" applyBorder="1" applyAlignment="1">
      <alignment/>
    </xf>
    <xf numFmtId="164" fontId="0" fillId="0" borderId="26" xfId="0" applyNumberFormat="1" applyBorder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5" fillId="0" borderId="0" xfId="0" applyFont="1" applyAlignment="1">
      <alignment/>
    </xf>
    <xf numFmtId="164" fontId="56" fillId="0" borderId="0" xfId="42" applyNumberFormat="1" applyFont="1" applyAlignment="1">
      <alignment/>
    </xf>
    <xf numFmtId="164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64" fontId="0" fillId="0" borderId="15" xfId="0" applyNumberFormat="1" applyFill="1" applyBorder="1" applyAlignment="1">
      <alignment/>
    </xf>
    <xf numFmtId="0" fontId="12" fillId="0" borderId="1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57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164" fontId="0" fillId="0" borderId="25" xfId="0" applyNumberFormat="1" applyBorder="1" applyAlignment="1">
      <alignment/>
    </xf>
    <xf numFmtId="0" fontId="10" fillId="0" borderId="0" xfId="0" applyFont="1" applyFill="1" applyAlignment="1">
      <alignment/>
    </xf>
    <xf numFmtId="41" fontId="0" fillId="0" borderId="1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3" fontId="0" fillId="0" borderId="11" xfId="42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19" borderId="0" xfId="42" applyNumberFormat="1" applyFont="1" applyFill="1" applyAlignment="1">
      <alignment/>
    </xf>
    <xf numFmtId="164" fontId="0" fillId="19" borderId="0" xfId="0" applyNumberFormat="1" applyFill="1" applyAlignment="1">
      <alignment/>
    </xf>
    <xf numFmtId="0" fontId="10" fillId="19" borderId="0" xfId="0" applyFont="1" applyFill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8" xfId="0" applyNumberFormat="1" applyBorder="1" applyAlignment="1">
      <alignment/>
    </xf>
    <xf numFmtId="172" fontId="0" fillId="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8515625" style="0" customWidth="1"/>
    <col min="2" max="2" width="14.00390625" style="0" bestFit="1" customWidth="1"/>
    <col min="3" max="3" width="9.28125" style="0" bestFit="1" customWidth="1"/>
    <col min="6" max="7" width="11.28125" style="0" bestFit="1" customWidth="1"/>
    <col min="8" max="8" width="10.28125" style="0" bestFit="1" customWidth="1"/>
    <col min="10" max="10" width="11.8515625" style="0" customWidth="1"/>
  </cols>
  <sheetData>
    <row r="1" spans="1:7" ht="12.75">
      <c r="A1" s="177" t="s">
        <v>0</v>
      </c>
      <c r="B1" s="177"/>
      <c r="C1" s="177"/>
      <c r="D1" s="177"/>
      <c r="E1" s="2"/>
      <c r="F1" s="177"/>
      <c r="G1" s="177"/>
    </row>
    <row r="2" spans="1:11" ht="12.75">
      <c r="A2" s="2"/>
      <c r="B2" s="2"/>
      <c r="C2" s="2"/>
      <c r="D2" s="2"/>
      <c r="E2" s="2"/>
      <c r="F2" s="2" t="s">
        <v>7</v>
      </c>
      <c r="G2" s="2" t="s">
        <v>10</v>
      </c>
      <c r="J2" t="s">
        <v>16</v>
      </c>
      <c r="K2" t="s">
        <v>17</v>
      </c>
    </row>
    <row r="3" spans="1:7" ht="12.75">
      <c r="A3" s="2"/>
      <c r="B3" s="2"/>
      <c r="C3" s="2"/>
      <c r="D3" s="2"/>
      <c r="E3" s="2"/>
      <c r="F3" s="2" t="s">
        <v>9</v>
      </c>
      <c r="G3" s="2" t="s">
        <v>11</v>
      </c>
    </row>
    <row r="4" spans="1:7" ht="12.75">
      <c r="A4" s="2" t="s">
        <v>1</v>
      </c>
      <c r="B4" s="2" t="s">
        <v>2</v>
      </c>
      <c r="C4" s="2" t="s">
        <v>3</v>
      </c>
      <c r="D4" s="2"/>
      <c r="E4" s="2"/>
      <c r="F4" s="2" t="s">
        <v>8</v>
      </c>
      <c r="G4" s="3" t="s">
        <v>6</v>
      </c>
    </row>
    <row r="5" spans="1:11" ht="12.75">
      <c r="A5" s="1">
        <v>17.39</v>
      </c>
      <c r="B5" s="1">
        <v>16.15</v>
      </c>
      <c r="C5" s="1">
        <f>A5-B5</f>
        <v>1.240000000000002</v>
      </c>
      <c r="D5" t="s">
        <v>5</v>
      </c>
      <c r="E5" s="5">
        <v>36892</v>
      </c>
      <c r="F5" s="7">
        <f>178654.66-G18</f>
        <v>154254.07</v>
      </c>
      <c r="G5" s="6">
        <v>155578.63</v>
      </c>
      <c r="H5" s="6">
        <f>F5-G5</f>
        <v>-1324.5599999999977</v>
      </c>
      <c r="J5" s="6">
        <f>178133.8-G18</f>
        <v>153733.21</v>
      </c>
      <c r="K5" s="6">
        <f>F5-J5</f>
        <v>520.8600000000151</v>
      </c>
    </row>
    <row r="6" spans="1:11" ht="12.75">
      <c r="A6" s="1">
        <v>22.94</v>
      </c>
      <c r="B6" s="1">
        <v>9.48</v>
      </c>
      <c r="C6" s="1">
        <f aca="true" t="shared" si="0" ref="C6:C37">A6-B6</f>
        <v>13.46</v>
      </c>
      <c r="E6" s="5">
        <v>36923</v>
      </c>
      <c r="F6" s="7">
        <v>328665.3</v>
      </c>
      <c r="G6" s="6">
        <v>306764.35</v>
      </c>
      <c r="H6" s="6">
        <f aca="true" t="shared" si="1" ref="H6:H12">F6-G6</f>
        <v>21900.95000000001</v>
      </c>
      <c r="J6" s="6">
        <v>328392.43</v>
      </c>
      <c r="K6" s="6">
        <f>F6-J6</f>
        <v>272.86999999999534</v>
      </c>
    </row>
    <row r="7" spans="1:11" ht="12.75">
      <c r="A7" s="1">
        <v>15463.27</v>
      </c>
      <c r="B7" s="1">
        <v>13065.67</v>
      </c>
      <c r="C7" s="1">
        <f t="shared" si="0"/>
        <v>2397.6000000000004</v>
      </c>
      <c r="E7" s="5">
        <v>36951</v>
      </c>
      <c r="F7" s="7">
        <v>313383.69</v>
      </c>
      <c r="G7" s="6">
        <v>312813.87</v>
      </c>
      <c r="H7" s="6">
        <f t="shared" si="1"/>
        <v>569.820000000007</v>
      </c>
      <c r="J7" s="6">
        <v>313503.28</v>
      </c>
      <c r="K7" s="6">
        <f>F7-J7</f>
        <v>-119.59000000002561</v>
      </c>
    </row>
    <row r="8" spans="1:11" ht="12.75">
      <c r="A8" s="1">
        <v>22.31</v>
      </c>
      <c r="B8" s="1">
        <v>23.82</v>
      </c>
      <c r="C8" s="1">
        <f t="shared" si="0"/>
        <v>-1.5100000000000016</v>
      </c>
      <c r="E8" s="5">
        <v>36982</v>
      </c>
      <c r="F8" s="7">
        <v>306161.02</v>
      </c>
      <c r="G8" s="6">
        <v>305571.79</v>
      </c>
      <c r="H8" s="6">
        <f t="shared" si="1"/>
        <v>589.2300000000396</v>
      </c>
      <c r="J8" s="6">
        <v>306151.74</v>
      </c>
      <c r="K8" s="6">
        <f>F8-J8</f>
        <v>9.28000000002794</v>
      </c>
    </row>
    <row r="9" spans="1:11" ht="12.75">
      <c r="A9" s="1">
        <v>40390.66</v>
      </c>
      <c r="B9" s="1">
        <v>40356.69</v>
      </c>
      <c r="C9" s="1">
        <f t="shared" si="0"/>
        <v>33.970000000001164</v>
      </c>
      <c r="E9" s="5">
        <v>37012</v>
      </c>
      <c r="F9" s="7">
        <v>313589.9</v>
      </c>
      <c r="G9" s="6">
        <v>313478.54</v>
      </c>
      <c r="H9" s="6">
        <f t="shared" si="1"/>
        <v>111.36000000004424</v>
      </c>
      <c r="J9" s="6">
        <v>313711.36</v>
      </c>
      <c r="K9" s="6">
        <f>F9-J9</f>
        <v>-121.45999999996275</v>
      </c>
    </row>
    <row r="10" spans="1:11" ht="12.75">
      <c r="A10" s="1">
        <v>6.71</v>
      </c>
      <c r="B10" s="1">
        <v>6.94</v>
      </c>
      <c r="C10" s="1">
        <f t="shared" si="0"/>
        <v>-0.23000000000000043</v>
      </c>
      <c r="E10" s="5">
        <v>37043</v>
      </c>
      <c r="F10" s="7">
        <v>324243.28</v>
      </c>
      <c r="G10" s="6">
        <v>324174.95</v>
      </c>
      <c r="H10" s="6">
        <f t="shared" si="1"/>
        <v>68.3300000000163</v>
      </c>
      <c r="J10" s="6">
        <f aca="true" t="shared" si="2" ref="J10:K12">G10</f>
        <v>324174.95</v>
      </c>
      <c r="K10" s="6">
        <f t="shared" si="2"/>
        <v>68.3300000000163</v>
      </c>
    </row>
    <row r="11" spans="1:11" ht="12.75">
      <c r="A11" s="1">
        <v>11.72</v>
      </c>
      <c r="B11" s="1">
        <v>10.15</v>
      </c>
      <c r="C11" s="1">
        <f t="shared" si="0"/>
        <v>1.5700000000000003</v>
      </c>
      <c r="E11" s="5">
        <v>37073</v>
      </c>
      <c r="F11" s="7">
        <v>328042.44</v>
      </c>
      <c r="G11" s="6">
        <v>328054.38</v>
      </c>
      <c r="H11" s="6">
        <f t="shared" si="1"/>
        <v>-11.940000000002328</v>
      </c>
      <c r="J11" s="6">
        <f t="shared" si="2"/>
        <v>328054.38</v>
      </c>
      <c r="K11" s="6">
        <f t="shared" si="2"/>
        <v>-11.940000000002328</v>
      </c>
    </row>
    <row r="12" spans="1:11" ht="12.75">
      <c r="A12" s="1">
        <v>35.19</v>
      </c>
      <c r="B12" s="1">
        <v>16.11</v>
      </c>
      <c r="C12" s="1">
        <f t="shared" si="0"/>
        <v>19.08</v>
      </c>
      <c r="E12" s="5">
        <v>37104</v>
      </c>
      <c r="F12" s="7">
        <v>339089.42</v>
      </c>
      <c r="G12" s="6">
        <v>339190.37</v>
      </c>
      <c r="H12" s="6">
        <f t="shared" si="1"/>
        <v>-100.95000000001164</v>
      </c>
      <c r="J12" s="6">
        <f t="shared" si="2"/>
        <v>339190.37</v>
      </c>
      <c r="K12" s="6">
        <f t="shared" si="2"/>
        <v>-100.95000000001164</v>
      </c>
    </row>
    <row r="13" spans="1:11" ht="12.75">
      <c r="A13" s="1">
        <v>-8.23</v>
      </c>
      <c r="B13" s="1">
        <v>13.55</v>
      </c>
      <c r="C13" s="1">
        <f t="shared" si="0"/>
        <v>-21.78</v>
      </c>
      <c r="F13" s="6"/>
      <c r="G13" s="6"/>
      <c r="H13" s="6"/>
      <c r="J13" s="6"/>
      <c r="K13" s="6"/>
    </row>
    <row r="14" spans="1:11" ht="12.75">
      <c r="A14" s="1">
        <v>177.49</v>
      </c>
      <c r="B14" s="1">
        <v>154.03</v>
      </c>
      <c r="C14" s="1">
        <f t="shared" si="0"/>
        <v>23.460000000000008</v>
      </c>
      <c r="F14" s="6"/>
      <c r="G14" s="6"/>
      <c r="H14" s="7">
        <f>SUM(H5:H13)</f>
        <v>21802.240000000107</v>
      </c>
      <c r="J14" s="6"/>
      <c r="K14" s="7">
        <f>SUM(K5:K12)</f>
        <v>517.4000000000524</v>
      </c>
    </row>
    <row r="15" spans="1:3" ht="12.75">
      <c r="A15" s="1">
        <v>8.06</v>
      </c>
      <c r="B15" s="1">
        <v>8.03</v>
      </c>
      <c r="C15" s="1">
        <f t="shared" si="0"/>
        <v>0.030000000000001137</v>
      </c>
    </row>
    <row r="16" spans="1:5" ht="12.75">
      <c r="A16" s="1">
        <v>8.54</v>
      </c>
      <c r="B16" s="1">
        <v>4.19</v>
      </c>
      <c r="C16" s="1">
        <f t="shared" si="0"/>
        <v>4.349999999999999</v>
      </c>
      <c r="E16" t="s">
        <v>13</v>
      </c>
    </row>
    <row r="17" spans="1:5" ht="12.75">
      <c r="A17" s="1">
        <v>37.66</v>
      </c>
      <c r="B17" s="1">
        <v>21.37</v>
      </c>
      <c r="C17" s="1">
        <f t="shared" si="0"/>
        <v>16.289999999999996</v>
      </c>
      <c r="E17" t="s">
        <v>14</v>
      </c>
    </row>
    <row r="18" spans="1:7" ht="12.75">
      <c r="A18" s="1">
        <v>7.72</v>
      </c>
      <c r="B18" s="1">
        <v>3.4</v>
      </c>
      <c r="C18" s="1">
        <f t="shared" si="0"/>
        <v>4.32</v>
      </c>
      <c r="E18" t="s">
        <v>12</v>
      </c>
      <c r="G18">
        <v>24400.59</v>
      </c>
    </row>
    <row r="19" spans="1:7" ht="12.75">
      <c r="A19" s="1">
        <v>11.03</v>
      </c>
      <c r="B19" s="1">
        <v>7.87</v>
      </c>
      <c r="C19" s="1">
        <f t="shared" si="0"/>
        <v>3.1599999999999993</v>
      </c>
      <c r="E19" t="s">
        <v>15</v>
      </c>
      <c r="G19">
        <v>1552.95</v>
      </c>
    </row>
    <row r="20" spans="1:3" ht="12.75">
      <c r="A20" s="1">
        <v>12.68</v>
      </c>
      <c r="B20" s="1">
        <v>12.59</v>
      </c>
      <c r="C20" s="1">
        <f t="shared" si="0"/>
        <v>0.08999999999999986</v>
      </c>
    </row>
    <row r="21" spans="1:3" ht="12.75">
      <c r="A21" s="1">
        <v>21.08</v>
      </c>
      <c r="B21" s="1">
        <v>26.65</v>
      </c>
      <c r="C21" s="1">
        <f t="shared" si="0"/>
        <v>-5.57</v>
      </c>
    </row>
    <row r="22" spans="1:3" ht="12.75">
      <c r="A22" s="1">
        <v>28.45</v>
      </c>
      <c r="B22" s="1">
        <v>24.45</v>
      </c>
      <c r="C22" s="1">
        <f t="shared" si="0"/>
        <v>4</v>
      </c>
    </row>
    <row r="23" spans="1:3" ht="12.75">
      <c r="A23" s="1">
        <v>23.18</v>
      </c>
      <c r="B23" s="1">
        <v>9.04</v>
      </c>
      <c r="C23" s="1">
        <f t="shared" si="0"/>
        <v>14.14</v>
      </c>
    </row>
    <row r="24" spans="1:3" ht="12.75">
      <c r="A24" s="1">
        <v>12.25</v>
      </c>
      <c r="B24" s="1">
        <v>12.55</v>
      </c>
      <c r="C24" s="1">
        <f t="shared" si="0"/>
        <v>-0.3000000000000007</v>
      </c>
    </row>
    <row r="25" spans="1:3" ht="12.75">
      <c r="A25" s="1">
        <v>10.05</v>
      </c>
      <c r="B25" s="1">
        <v>12.09</v>
      </c>
      <c r="C25" s="1">
        <f t="shared" si="0"/>
        <v>-2.039999999999999</v>
      </c>
    </row>
    <row r="26" spans="1:3" ht="12.75">
      <c r="A26" s="1">
        <v>37.15</v>
      </c>
      <c r="B26" s="1">
        <v>22.39</v>
      </c>
      <c r="C26" s="1">
        <f t="shared" si="0"/>
        <v>14.759999999999998</v>
      </c>
    </row>
    <row r="27" spans="1:3" ht="12.75">
      <c r="A27" s="1">
        <v>1347.75</v>
      </c>
      <c r="B27" s="1">
        <v>955.38</v>
      </c>
      <c r="C27" s="1">
        <f t="shared" si="0"/>
        <v>392.37</v>
      </c>
    </row>
    <row r="28" spans="1:3" ht="12.75">
      <c r="A28" s="1">
        <v>12.64</v>
      </c>
      <c r="B28" s="1">
        <v>6.09</v>
      </c>
      <c r="C28" s="1">
        <f t="shared" si="0"/>
        <v>6.550000000000001</v>
      </c>
    </row>
    <row r="29" spans="1:3" ht="12.75">
      <c r="A29" s="1">
        <v>12543.65</v>
      </c>
      <c r="B29" s="1">
        <v>9115.64</v>
      </c>
      <c r="C29" s="1">
        <f t="shared" si="0"/>
        <v>3428.01</v>
      </c>
    </row>
    <row r="30" spans="1:3" ht="12.75">
      <c r="A30" s="1">
        <v>19.03</v>
      </c>
      <c r="B30" s="1">
        <v>18.51</v>
      </c>
      <c r="C30" s="1">
        <f t="shared" si="0"/>
        <v>0.5199999999999996</v>
      </c>
    </row>
    <row r="31" spans="1:3" ht="12.75">
      <c r="A31" s="1">
        <v>9.21</v>
      </c>
      <c r="B31" s="1">
        <v>7.45</v>
      </c>
      <c r="C31" s="1">
        <f t="shared" si="0"/>
        <v>1.7600000000000007</v>
      </c>
    </row>
    <row r="32" spans="1:3" ht="12.75">
      <c r="A32" s="1">
        <v>157685.16</v>
      </c>
      <c r="B32" s="1">
        <v>121092.87</v>
      </c>
      <c r="C32" s="1">
        <f t="shared" si="0"/>
        <v>36592.29000000001</v>
      </c>
    </row>
    <row r="33" spans="1:3" ht="12.75">
      <c r="A33" s="1">
        <v>51.26</v>
      </c>
      <c r="B33" s="1">
        <v>41.6</v>
      </c>
      <c r="C33" s="1">
        <f t="shared" si="0"/>
        <v>9.659999999999997</v>
      </c>
    </row>
    <row r="34" spans="1:3" ht="12.75">
      <c r="A34" s="1">
        <v>799</v>
      </c>
      <c r="B34" s="1">
        <v>642.96</v>
      </c>
      <c r="C34" s="1">
        <f t="shared" si="0"/>
        <v>156.03999999999996</v>
      </c>
    </row>
    <row r="35" spans="1:3" ht="12.75">
      <c r="A35" s="1">
        <v>1671.09</v>
      </c>
      <c r="B35" s="1">
        <v>532.46</v>
      </c>
      <c r="C35" s="1">
        <f t="shared" si="0"/>
        <v>1138.6299999999999</v>
      </c>
    </row>
    <row r="36" spans="1:3" ht="12.75">
      <c r="A36" s="1">
        <v>2014.54</v>
      </c>
      <c r="B36" s="1">
        <v>1613.86</v>
      </c>
      <c r="C36" s="1">
        <f t="shared" si="0"/>
        <v>400.68000000000006</v>
      </c>
    </row>
    <row r="37" spans="1:3" ht="12.75">
      <c r="A37" s="1">
        <v>3515.39</v>
      </c>
      <c r="B37" s="1">
        <v>1959.16</v>
      </c>
      <c r="C37" s="1">
        <f t="shared" si="0"/>
        <v>1556.2299999999998</v>
      </c>
    </row>
    <row r="38" spans="1:3" ht="12.75">
      <c r="A38" s="1">
        <f>SUM(A5:A37)</f>
        <v>236026.02000000005</v>
      </c>
      <c r="B38" s="1">
        <f>SUM(B5:B37)</f>
        <v>189823.18999999997</v>
      </c>
      <c r="C38" s="4">
        <f>SUM(C5:C37)</f>
        <v>46202.830000000016</v>
      </c>
    </row>
    <row r="40" spans="1:2" ht="12.75">
      <c r="A40" s="3" t="s">
        <v>4</v>
      </c>
      <c r="B40" s="3"/>
    </row>
    <row r="41" spans="1:3" ht="12.75">
      <c r="A41" s="1">
        <v>2431829.71</v>
      </c>
      <c r="B41" s="1">
        <v>2385626.88</v>
      </c>
      <c r="C41" s="4">
        <f>A41-B41</f>
        <v>46202.830000000075</v>
      </c>
    </row>
  </sheetData>
  <sheetProtection/>
  <mergeCells count="2">
    <mergeCell ref="A1:D1"/>
    <mergeCell ref="F1:G1"/>
  </mergeCells>
  <printOptions/>
  <pageMargins left="0.42" right="0.75" top="0.56" bottom="0.6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2"/>
  <sheetViews>
    <sheetView zoomScalePageLayoutView="0" workbookViewId="0" topLeftCell="A1">
      <pane xSplit="2" ySplit="1" topLeftCell="C7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5" sqref="A75"/>
    </sheetView>
  </sheetViews>
  <sheetFormatPr defaultColWidth="9.140625" defaultRowHeight="12.75" outlineLevelRow="2"/>
  <cols>
    <col min="1" max="1" width="15.57421875" style="8" customWidth="1"/>
    <col min="2" max="2" width="33.8515625" style="8" hidden="1" customWidth="1"/>
    <col min="3" max="5" width="11.57421875" style="8" hidden="1" customWidth="1"/>
    <col min="6" max="10" width="12.8515625" style="8" hidden="1" customWidth="1"/>
    <col min="11" max="11" width="12.57421875" style="8" hidden="1" customWidth="1"/>
    <col min="12" max="14" width="12.8515625" style="8" hidden="1" customWidth="1"/>
    <col min="15" max="19" width="12.8515625" style="8" bestFit="1" customWidth="1"/>
    <col min="20" max="27" width="11.8515625" style="8" customWidth="1"/>
    <col min="28" max="16384" width="9.140625" style="8" customWidth="1"/>
  </cols>
  <sheetData>
    <row r="1" spans="1:30" ht="12.75">
      <c r="A1" s="8" t="s">
        <v>82</v>
      </c>
      <c r="B1" s="8" t="s">
        <v>18</v>
      </c>
      <c r="C1" s="9">
        <v>36892</v>
      </c>
      <c r="D1" s="9">
        <v>36923</v>
      </c>
      <c r="E1" s="9">
        <v>36951</v>
      </c>
      <c r="F1" s="9">
        <v>36982</v>
      </c>
      <c r="G1" s="9">
        <v>37012</v>
      </c>
      <c r="H1" s="9">
        <v>37043</v>
      </c>
      <c r="I1" s="9">
        <v>37073</v>
      </c>
      <c r="J1" s="9">
        <v>37104</v>
      </c>
      <c r="K1" s="9">
        <v>37135</v>
      </c>
      <c r="L1" s="9">
        <v>37165</v>
      </c>
      <c r="M1" s="9">
        <v>37196</v>
      </c>
      <c r="N1" s="9">
        <v>37226</v>
      </c>
      <c r="O1" s="14" t="s">
        <v>110</v>
      </c>
      <c r="P1" s="9">
        <v>37257</v>
      </c>
      <c r="Q1" s="9">
        <v>37288</v>
      </c>
      <c r="R1" s="9">
        <v>37316</v>
      </c>
      <c r="S1" s="9">
        <v>37347</v>
      </c>
      <c r="T1" s="9">
        <v>37377</v>
      </c>
      <c r="U1" s="9">
        <v>37408</v>
      </c>
      <c r="V1" s="9">
        <v>37438</v>
      </c>
      <c r="W1" s="9">
        <v>37469</v>
      </c>
      <c r="X1" s="9">
        <v>37500</v>
      </c>
      <c r="Y1" s="9">
        <v>37530</v>
      </c>
      <c r="Z1" s="9">
        <v>37561</v>
      </c>
      <c r="AA1" s="9">
        <v>37591</v>
      </c>
      <c r="AB1" s="9">
        <v>37622</v>
      </c>
      <c r="AC1" s="9">
        <v>37653</v>
      </c>
      <c r="AD1" s="9">
        <v>37681</v>
      </c>
    </row>
    <row r="2" spans="1:18" ht="12.75" hidden="1" outlineLevel="2">
      <c r="A2" s="8">
        <v>6200</v>
      </c>
      <c r="B2" s="8" t="s">
        <v>19</v>
      </c>
      <c r="C2" s="10">
        <v>19106.66</v>
      </c>
      <c r="D2" s="10">
        <v>55713.67</v>
      </c>
      <c r="E2" s="10">
        <v>49924.82</v>
      </c>
      <c r="F2" s="10">
        <v>50771.85</v>
      </c>
      <c r="G2" s="10">
        <v>46819.03</v>
      </c>
      <c r="H2" s="10">
        <v>47617.69</v>
      </c>
      <c r="I2" s="10">
        <v>46899.58</v>
      </c>
      <c r="J2" s="10">
        <v>48320.49</v>
      </c>
      <c r="K2" s="10">
        <v>49213.73</v>
      </c>
      <c r="L2" s="10">
        <v>47497.93</v>
      </c>
      <c r="M2" s="10">
        <v>49761.32</v>
      </c>
      <c r="N2" s="10">
        <v>53635.15</v>
      </c>
      <c r="O2" s="11">
        <f aca="true" t="shared" si="0" ref="O2:O33">SUM(C2:N2)</f>
        <v>565281.9199999999</v>
      </c>
      <c r="P2" s="10">
        <v>57304.06</v>
      </c>
      <c r="Q2">
        <v>56929.45</v>
      </c>
      <c r="R2">
        <v>51510.02</v>
      </c>
    </row>
    <row r="3" spans="1:18" ht="12.75" hidden="1" outlineLevel="2">
      <c r="A3" s="8">
        <v>6200</v>
      </c>
      <c r="B3" s="8" t="s">
        <v>20</v>
      </c>
      <c r="C3" s="10">
        <v>56683.58</v>
      </c>
      <c r="D3" s="10">
        <v>107263.24</v>
      </c>
      <c r="E3" s="10">
        <v>98209.3</v>
      </c>
      <c r="F3" s="10">
        <v>95866.9</v>
      </c>
      <c r="G3" s="10">
        <v>92203.49</v>
      </c>
      <c r="H3" s="10">
        <v>90424.94</v>
      </c>
      <c r="I3" s="10">
        <v>87566.17</v>
      </c>
      <c r="J3" s="10">
        <v>89770.21</v>
      </c>
      <c r="K3" s="10">
        <v>91843.3</v>
      </c>
      <c r="L3" s="10">
        <v>91535.15</v>
      </c>
      <c r="M3" s="10">
        <v>96641.05</v>
      </c>
      <c r="N3" s="10">
        <v>104029.04</v>
      </c>
      <c r="O3" s="11">
        <f t="shared" si="0"/>
        <v>1102036.37</v>
      </c>
      <c r="P3" s="10">
        <v>111986.13</v>
      </c>
      <c r="Q3">
        <v>110546.67</v>
      </c>
      <c r="R3">
        <v>100238.9</v>
      </c>
    </row>
    <row r="4" spans="1:18" ht="12.75" hidden="1" outlineLevel="2">
      <c r="A4" s="8">
        <v>6200</v>
      </c>
      <c r="B4" s="8" t="s">
        <v>21</v>
      </c>
      <c r="C4" s="10">
        <v>211.97</v>
      </c>
      <c r="D4" s="10">
        <v>408.42</v>
      </c>
      <c r="E4" s="10">
        <v>408.37</v>
      </c>
      <c r="F4" s="10">
        <v>390.12</v>
      </c>
      <c r="G4" s="10">
        <v>872.35</v>
      </c>
      <c r="H4" s="10">
        <v>802.59</v>
      </c>
      <c r="I4" s="10">
        <v>956.39</v>
      </c>
      <c r="J4" s="10">
        <v>1180.37</v>
      </c>
      <c r="K4" s="10">
        <v>875.28</v>
      </c>
      <c r="L4" s="10">
        <v>742.87</v>
      </c>
      <c r="M4" s="10">
        <v>574.71</v>
      </c>
      <c r="N4" s="10">
        <v>538.49</v>
      </c>
      <c r="O4" s="11">
        <f t="shared" si="0"/>
        <v>7961.929999999999</v>
      </c>
      <c r="P4" s="10">
        <v>413.96</v>
      </c>
      <c r="Q4">
        <v>419.95</v>
      </c>
      <c r="R4">
        <v>426.88</v>
      </c>
    </row>
    <row r="5" spans="1:18" ht="12.75" hidden="1" outlineLevel="2">
      <c r="A5" s="8">
        <v>6200</v>
      </c>
      <c r="B5" s="8" t="s">
        <v>22</v>
      </c>
      <c r="C5" s="10">
        <v>-23.01</v>
      </c>
      <c r="D5" s="10">
        <v>16.72</v>
      </c>
      <c r="E5" s="10">
        <v>15.23</v>
      </c>
      <c r="F5" s="10">
        <v>-88.13</v>
      </c>
      <c r="G5" s="10">
        <v>11488.18</v>
      </c>
      <c r="H5" s="10">
        <v>11649.8</v>
      </c>
      <c r="I5" s="10">
        <v>11921.43</v>
      </c>
      <c r="J5" s="10">
        <v>13280.65</v>
      </c>
      <c r="K5" s="10">
        <v>11085.29</v>
      </c>
      <c r="L5" s="10">
        <v>10794.3</v>
      </c>
      <c r="M5" s="10">
        <v>75.2</v>
      </c>
      <c r="N5" s="10">
        <v>4.1</v>
      </c>
      <c r="O5" s="11">
        <f t="shared" si="0"/>
        <v>70219.76000000001</v>
      </c>
      <c r="P5" s="10">
        <v>27.42</v>
      </c>
      <c r="Q5">
        <v>29.24</v>
      </c>
      <c r="R5">
        <v>7.71</v>
      </c>
    </row>
    <row r="6" spans="1:18" ht="12.75" outlineLevel="1" collapsed="1">
      <c r="A6" s="12" t="s">
        <v>83</v>
      </c>
      <c r="C6" s="10">
        <f aca="true" t="shared" si="1" ref="C6:K6">SUBTOTAL(9,C2:C5)</f>
        <v>75979.20000000001</v>
      </c>
      <c r="D6" s="10">
        <f t="shared" si="1"/>
        <v>163402.05000000002</v>
      </c>
      <c r="E6" s="10">
        <f t="shared" si="1"/>
        <v>148557.72</v>
      </c>
      <c r="F6" s="10">
        <f t="shared" si="1"/>
        <v>146940.74</v>
      </c>
      <c r="G6" s="10">
        <f t="shared" si="1"/>
        <v>151383.05000000002</v>
      </c>
      <c r="H6" s="10">
        <f t="shared" si="1"/>
        <v>150495.02</v>
      </c>
      <c r="I6" s="10">
        <f t="shared" si="1"/>
        <v>147343.57</v>
      </c>
      <c r="J6" s="10">
        <f t="shared" si="1"/>
        <v>152551.72</v>
      </c>
      <c r="K6" s="10">
        <f t="shared" si="1"/>
        <v>153017.6</v>
      </c>
      <c r="L6" s="10">
        <f>SUBTOTAL(9,L2:L5)</f>
        <v>150570.24999999997</v>
      </c>
      <c r="M6" s="10">
        <f>SUBTOTAL(9,M2:M5)</f>
        <v>147052.28</v>
      </c>
      <c r="N6" s="10">
        <f>SUBTOTAL(9,N2:N5)</f>
        <v>158206.78</v>
      </c>
      <c r="O6" s="11">
        <f t="shared" si="0"/>
        <v>1745499.9800000002</v>
      </c>
      <c r="P6" s="10">
        <f>SUBTOTAL(9,P2:P5)</f>
        <v>169731.57</v>
      </c>
      <c r="Q6" s="10">
        <f>SUBTOTAL(9,Q2:Q5)</f>
        <v>167925.31</v>
      </c>
      <c r="R6" s="10">
        <f>SUBTOTAL(9,R2:R5)</f>
        <v>152183.50999999998</v>
      </c>
    </row>
    <row r="7" spans="1:18" ht="12.75" hidden="1" outlineLevel="2">
      <c r="A7" s="8">
        <v>6210</v>
      </c>
      <c r="B7" s="8" t="s">
        <v>23</v>
      </c>
      <c r="C7" s="10">
        <v>43730.6</v>
      </c>
      <c r="D7" s="10">
        <v>117933.81</v>
      </c>
      <c r="E7" s="10">
        <v>111074.58</v>
      </c>
      <c r="F7" s="10">
        <v>110369.62</v>
      </c>
      <c r="G7" s="10">
        <v>106402.52</v>
      </c>
      <c r="H7" s="10">
        <v>113250.39</v>
      </c>
      <c r="I7" s="10">
        <v>117643.51</v>
      </c>
      <c r="J7" s="10">
        <v>123707.69</v>
      </c>
      <c r="K7" s="10">
        <v>120403.78</v>
      </c>
      <c r="L7" s="10">
        <v>113944.98</v>
      </c>
      <c r="M7" s="10">
        <v>113839.41</v>
      </c>
      <c r="N7" s="10">
        <v>114473.89</v>
      </c>
      <c r="O7" s="11">
        <f t="shared" si="0"/>
        <v>1306774.7799999998</v>
      </c>
      <c r="P7" s="10">
        <v>114168.42</v>
      </c>
      <c r="Q7">
        <v>117446.54</v>
      </c>
      <c r="R7">
        <v>111069.83</v>
      </c>
    </row>
    <row r="8" spans="1:18" ht="12.75" hidden="1" outlineLevel="2">
      <c r="A8" s="8">
        <v>6210</v>
      </c>
      <c r="B8" s="8" t="s">
        <v>24</v>
      </c>
      <c r="C8" s="10">
        <v>21.74</v>
      </c>
      <c r="D8" s="10">
        <v>5.59</v>
      </c>
      <c r="E8" s="10">
        <v>-4.05</v>
      </c>
      <c r="F8" s="10">
        <v>-152.35</v>
      </c>
      <c r="G8" s="10">
        <v>3916.27</v>
      </c>
      <c r="H8" s="10">
        <v>4150.79</v>
      </c>
      <c r="I8" s="10">
        <v>5995.93</v>
      </c>
      <c r="J8" s="10">
        <v>7254.43</v>
      </c>
      <c r="K8" s="10">
        <v>5213.26</v>
      </c>
      <c r="L8" s="10">
        <v>3606.23</v>
      </c>
      <c r="M8" s="10">
        <v>27.43</v>
      </c>
      <c r="N8" s="10">
        <v>11.74</v>
      </c>
      <c r="O8" s="11">
        <f t="shared" si="0"/>
        <v>30047.010000000002</v>
      </c>
      <c r="P8" s="10">
        <v>1.35</v>
      </c>
      <c r="Q8">
        <v>18.3</v>
      </c>
      <c r="R8">
        <v>1.33</v>
      </c>
    </row>
    <row r="9" spans="1:18" ht="12.75" outlineLevel="1" collapsed="1">
      <c r="A9" s="3" t="s">
        <v>84</v>
      </c>
      <c r="C9" s="10">
        <f aca="true" t="shared" si="2" ref="C9:K9">SUBTOTAL(9,C7:C8)</f>
        <v>43752.34</v>
      </c>
      <c r="D9" s="10">
        <f t="shared" si="2"/>
        <v>117939.4</v>
      </c>
      <c r="E9" s="10">
        <f t="shared" si="2"/>
        <v>111070.53</v>
      </c>
      <c r="F9" s="10">
        <f t="shared" si="2"/>
        <v>110217.26999999999</v>
      </c>
      <c r="G9" s="10">
        <f t="shared" si="2"/>
        <v>110318.79000000001</v>
      </c>
      <c r="H9" s="10">
        <f t="shared" si="2"/>
        <v>117401.18</v>
      </c>
      <c r="I9" s="10">
        <f t="shared" si="2"/>
        <v>123639.44</v>
      </c>
      <c r="J9" s="10">
        <f t="shared" si="2"/>
        <v>130962.12</v>
      </c>
      <c r="K9" s="10">
        <f t="shared" si="2"/>
        <v>125617.04</v>
      </c>
      <c r="L9" s="10">
        <f>SUBTOTAL(9,L7:L8)</f>
        <v>117551.20999999999</v>
      </c>
      <c r="M9" s="10">
        <f>SUBTOTAL(9,M7:M8)</f>
        <v>113866.84</v>
      </c>
      <c r="N9" s="10">
        <f>SUBTOTAL(9,N7:N8)</f>
        <v>114485.63</v>
      </c>
      <c r="O9" s="11">
        <f t="shared" si="0"/>
        <v>1336821.79</v>
      </c>
      <c r="P9" s="10">
        <f>SUBTOTAL(9,P7:P8)</f>
        <v>114169.77</v>
      </c>
      <c r="Q9" s="10">
        <f>SUBTOTAL(9,Q7:Q8)</f>
        <v>117464.84</v>
      </c>
      <c r="R9" s="10">
        <f>SUBTOTAL(9,R7:R8)</f>
        <v>111071.16</v>
      </c>
    </row>
    <row r="10" spans="1:18" ht="12.75" hidden="1" outlineLevel="2">
      <c r="A10" s="8">
        <v>6211</v>
      </c>
      <c r="B10" s="8" t="s">
        <v>25</v>
      </c>
      <c r="C10" s="10">
        <v>829.72</v>
      </c>
      <c r="D10" s="10">
        <v>2105.4</v>
      </c>
      <c r="E10" s="10">
        <v>1848.97</v>
      </c>
      <c r="F10" s="10">
        <v>1734.73</v>
      </c>
      <c r="G10" s="10">
        <v>1701.16</v>
      </c>
      <c r="H10" s="10">
        <v>1701.7</v>
      </c>
      <c r="I10" s="10">
        <v>1631.94</v>
      </c>
      <c r="J10" s="10">
        <v>1712.32</v>
      </c>
      <c r="K10" s="10">
        <v>1673.79</v>
      </c>
      <c r="L10" s="10">
        <v>1573.78</v>
      </c>
      <c r="M10" s="10">
        <v>1489.91</v>
      </c>
      <c r="N10" s="10">
        <v>1678.74</v>
      </c>
      <c r="O10" s="11">
        <f t="shared" si="0"/>
        <v>19682.16</v>
      </c>
      <c r="P10" s="10">
        <v>1843.36</v>
      </c>
      <c r="Q10">
        <v>2080.68</v>
      </c>
      <c r="R10">
        <v>1855.4</v>
      </c>
    </row>
    <row r="11" spans="1:18" ht="12.75" outlineLevel="1" collapsed="1">
      <c r="A11" s="3" t="s">
        <v>85</v>
      </c>
      <c r="C11" s="10">
        <f aca="true" t="shared" si="3" ref="C11:K11">SUBTOTAL(9,C10:C10)</f>
        <v>829.72</v>
      </c>
      <c r="D11" s="10">
        <f t="shared" si="3"/>
        <v>2105.4</v>
      </c>
      <c r="E11" s="10">
        <f t="shared" si="3"/>
        <v>1848.97</v>
      </c>
      <c r="F11" s="10">
        <f t="shared" si="3"/>
        <v>1734.73</v>
      </c>
      <c r="G11" s="10">
        <f t="shared" si="3"/>
        <v>1701.16</v>
      </c>
      <c r="H11" s="10">
        <f t="shared" si="3"/>
        <v>1701.7</v>
      </c>
      <c r="I11" s="10">
        <f t="shared" si="3"/>
        <v>1631.94</v>
      </c>
      <c r="J11" s="10">
        <f t="shared" si="3"/>
        <v>1712.32</v>
      </c>
      <c r="K11" s="10">
        <f t="shared" si="3"/>
        <v>1673.79</v>
      </c>
      <c r="L11" s="10">
        <f>SUBTOTAL(9,L10:L10)</f>
        <v>1573.78</v>
      </c>
      <c r="M11" s="10">
        <f>SUBTOTAL(9,M10:M10)</f>
        <v>1489.91</v>
      </c>
      <c r="N11" s="10">
        <f>SUBTOTAL(9,N10:N10)</f>
        <v>1678.74</v>
      </c>
      <c r="O11" s="11">
        <f t="shared" si="0"/>
        <v>19682.16</v>
      </c>
      <c r="P11" s="10">
        <f>SUBTOTAL(9,P10:P10)</f>
        <v>1843.36</v>
      </c>
      <c r="Q11" s="10">
        <f>SUBTOTAL(9,Q10:Q10)</f>
        <v>2080.68</v>
      </c>
      <c r="R11" s="10">
        <f>SUBTOTAL(9,R10:R10)</f>
        <v>1855.4</v>
      </c>
    </row>
    <row r="12" spans="1:18" ht="12.75" hidden="1" outlineLevel="2">
      <c r="A12" s="8">
        <v>6250</v>
      </c>
      <c r="B12" s="8" t="s">
        <v>26</v>
      </c>
      <c r="C12" s="10">
        <v>22243.21</v>
      </c>
      <c r="D12" s="10">
        <v>25857.46</v>
      </c>
      <c r="E12" s="10">
        <v>33732.68</v>
      </c>
      <c r="F12" s="10">
        <v>28592.65</v>
      </c>
      <c r="G12" s="10">
        <v>28139.45</v>
      </c>
      <c r="H12" s="10">
        <v>29124.83</v>
      </c>
      <c r="I12" s="10">
        <v>30383.92</v>
      </c>
      <c r="J12" s="10">
        <v>28000.46</v>
      </c>
      <c r="K12" s="10">
        <v>27798.28</v>
      </c>
      <c r="L12" s="10">
        <v>27948.36</v>
      </c>
      <c r="M12" s="10">
        <v>26195.97</v>
      </c>
      <c r="N12" s="10">
        <v>24839.84</v>
      </c>
      <c r="O12" s="11">
        <f t="shared" si="0"/>
        <v>332857.11000000004</v>
      </c>
      <c r="P12" s="10">
        <v>26359.57</v>
      </c>
      <c r="Q12">
        <v>27222.22</v>
      </c>
      <c r="R12">
        <v>27286.29</v>
      </c>
    </row>
    <row r="13" spans="1:18" ht="12.75" outlineLevel="1" collapsed="1">
      <c r="A13" s="3" t="s">
        <v>86</v>
      </c>
      <c r="C13" s="10">
        <f aca="true" t="shared" si="4" ref="C13:I13">SUBTOTAL(9,C12:C12)</f>
        <v>22243.21</v>
      </c>
      <c r="D13" s="10">
        <f t="shared" si="4"/>
        <v>25857.46</v>
      </c>
      <c r="E13" s="10">
        <f t="shared" si="4"/>
        <v>33732.68</v>
      </c>
      <c r="F13" s="10">
        <f t="shared" si="4"/>
        <v>28592.65</v>
      </c>
      <c r="G13" s="10">
        <f t="shared" si="4"/>
        <v>28139.45</v>
      </c>
      <c r="H13" s="10">
        <f t="shared" si="4"/>
        <v>29124.83</v>
      </c>
      <c r="I13" s="10">
        <f t="shared" si="4"/>
        <v>30383.92</v>
      </c>
      <c r="J13" s="10">
        <f>SUBTOTAL(9,J12:J12)</f>
        <v>28000.46</v>
      </c>
      <c r="K13" s="10">
        <f>SUBTOTAL(9,K12:K12)</f>
        <v>27798.28</v>
      </c>
      <c r="L13" s="10">
        <f>SUBTOTAL(9,L12:L12)</f>
        <v>27948.36</v>
      </c>
      <c r="M13" s="10">
        <f>SUBTOTAL(9,M12:M12)</f>
        <v>26195.97</v>
      </c>
      <c r="N13" s="10">
        <f>SUBTOTAL(9,N12:N12)</f>
        <v>24839.84</v>
      </c>
      <c r="O13" s="11">
        <f t="shared" si="0"/>
        <v>332857.11000000004</v>
      </c>
      <c r="P13" s="10">
        <f>SUBTOTAL(9,P12:P12)</f>
        <v>26359.57</v>
      </c>
      <c r="Q13" s="10">
        <f>SUBTOTAL(9,Q12:Q12)</f>
        <v>27222.22</v>
      </c>
      <c r="R13" s="10">
        <f>SUBTOTAL(9,R12:R12)</f>
        <v>27286.29</v>
      </c>
    </row>
    <row r="14" spans="1:18" ht="12.75" hidden="1" outlineLevel="2">
      <c r="A14" s="8">
        <v>6220</v>
      </c>
      <c r="B14" s="8" t="s">
        <v>27</v>
      </c>
      <c r="C14" s="10">
        <v>7168.17</v>
      </c>
      <c r="D14" s="10">
        <v>15468.95</v>
      </c>
      <c r="E14" s="10">
        <v>14709.96</v>
      </c>
      <c r="F14" s="10">
        <v>15458.54</v>
      </c>
      <c r="G14" s="10">
        <v>17674.57</v>
      </c>
      <c r="H14" s="10">
        <v>21531.8</v>
      </c>
      <c r="I14" s="10">
        <v>20673.18</v>
      </c>
      <c r="J14" s="10">
        <v>21860.64</v>
      </c>
      <c r="K14" s="10">
        <v>22424.98</v>
      </c>
      <c r="L14" s="10">
        <v>19792.26</v>
      </c>
      <c r="M14" s="10">
        <v>17842.87</v>
      </c>
      <c r="N14" s="10">
        <v>16302.83</v>
      </c>
      <c r="O14" s="11">
        <f t="shared" si="0"/>
        <v>210908.75</v>
      </c>
      <c r="P14" s="10">
        <v>14949.35</v>
      </c>
      <c r="Q14">
        <v>15361.22</v>
      </c>
      <c r="R14">
        <v>14642.34</v>
      </c>
    </row>
    <row r="15" spans="1:18" ht="12.75" outlineLevel="1" collapsed="1">
      <c r="A15" s="3" t="s">
        <v>87</v>
      </c>
      <c r="C15" s="10">
        <f aca="true" t="shared" si="5" ref="C15:K15">SUBTOTAL(9,C14:C14)</f>
        <v>7168.17</v>
      </c>
      <c r="D15" s="10">
        <f t="shared" si="5"/>
        <v>15468.95</v>
      </c>
      <c r="E15" s="10">
        <f t="shared" si="5"/>
        <v>14709.96</v>
      </c>
      <c r="F15" s="10">
        <f t="shared" si="5"/>
        <v>15458.54</v>
      </c>
      <c r="G15" s="10">
        <f t="shared" si="5"/>
        <v>17674.57</v>
      </c>
      <c r="H15" s="10">
        <f t="shared" si="5"/>
        <v>21531.8</v>
      </c>
      <c r="I15" s="10">
        <f t="shared" si="5"/>
        <v>20673.18</v>
      </c>
      <c r="J15" s="10">
        <f t="shared" si="5"/>
        <v>21860.64</v>
      </c>
      <c r="K15" s="10">
        <f t="shared" si="5"/>
        <v>22424.98</v>
      </c>
      <c r="L15" s="10">
        <f>SUBTOTAL(9,L14:L14)</f>
        <v>19792.26</v>
      </c>
      <c r="M15" s="10">
        <f>SUBTOTAL(9,M14:M14)</f>
        <v>17842.87</v>
      </c>
      <c r="N15" s="10">
        <f>SUBTOTAL(9,N14:N14)</f>
        <v>16302.83</v>
      </c>
      <c r="O15" s="11">
        <f t="shared" si="0"/>
        <v>210908.75</v>
      </c>
      <c r="P15" s="10">
        <f>SUBTOTAL(9,P14:P14)</f>
        <v>14949.35</v>
      </c>
      <c r="Q15" s="10">
        <f>SUBTOTAL(9,Q14:Q14)</f>
        <v>15361.22</v>
      </c>
      <c r="R15" s="10">
        <f>SUBTOTAL(9,R14:R14)</f>
        <v>14642.34</v>
      </c>
    </row>
    <row r="16" spans="1:18" ht="12.75" hidden="1" outlineLevel="2">
      <c r="A16" s="8">
        <v>6300</v>
      </c>
      <c r="B16" s="8" t="s">
        <v>28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>
        <f t="shared" si="0"/>
        <v>0</v>
      </c>
      <c r="P16" s="10">
        <v>0</v>
      </c>
      <c r="Q16" s="17">
        <f>Q105-Q110</f>
        <v>25346.812400000053</v>
      </c>
      <c r="R16" s="17">
        <v>26226.63</v>
      </c>
    </row>
    <row r="17" spans="1:18" ht="12.75" hidden="1" outlineLevel="2">
      <c r="A17" s="8">
        <v>6300</v>
      </c>
      <c r="B17" s="8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">
        <f t="shared" si="0"/>
        <v>0</v>
      </c>
      <c r="P17" s="10">
        <v>0</v>
      </c>
      <c r="Q17">
        <v>0</v>
      </c>
      <c r="R17">
        <v>0</v>
      </c>
    </row>
    <row r="18" spans="1:18" ht="12.75" outlineLevel="1" collapsed="1">
      <c r="A18" s="3" t="s">
        <v>88</v>
      </c>
      <c r="C18" s="10">
        <f aca="true" t="shared" si="6" ref="C18:K18">SUBTOTAL(9,C16:C17)</f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0">
        <f t="shared" si="6"/>
        <v>0</v>
      </c>
      <c r="L18" s="10">
        <f>SUBTOTAL(9,L16:L17)</f>
        <v>0</v>
      </c>
      <c r="M18" s="10">
        <f>SUBTOTAL(9,M16:M17)</f>
        <v>0</v>
      </c>
      <c r="N18" s="10">
        <f>SUBTOTAL(9,N16:N17)</f>
        <v>0</v>
      </c>
      <c r="O18" s="11">
        <f t="shared" si="0"/>
        <v>0</v>
      </c>
      <c r="P18" s="10">
        <f>SUBTOTAL(9,P16:P17)</f>
        <v>0</v>
      </c>
      <c r="Q18" s="10">
        <f>SUBTOTAL(9,Q16:Q17)</f>
        <v>25346.812400000053</v>
      </c>
      <c r="R18" s="10">
        <f>SUBTOTAL(9,R16:R17)</f>
        <v>26226.63</v>
      </c>
    </row>
    <row r="19" spans="1:18" ht="12.75" hidden="1" outlineLevel="2">
      <c r="A19" s="8">
        <v>6230</v>
      </c>
      <c r="B19" s="8" t="s">
        <v>30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0.21</v>
      </c>
      <c r="K19" s="10">
        <v>0</v>
      </c>
      <c r="L19" s="10">
        <v>0</v>
      </c>
      <c r="M19" s="10">
        <v>0</v>
      </c>
      <c r="N19" s="10">
        <v>0</v>
      </c>
      <c r="O19" s="11">
        <f t="shared" si="0"/>
        <v>0.21</v>
      </c>
      <c r="P19" s="10">
        <v>0</v>
      </c>
      <c r="Q19">
        <v>0</v>
      </c>
      <c r="R19">
        <v>0</v>
      </c>
    </row>
    <row r="20" spans="1:18" ht="12.75" hidden="1" outlineLevel="2">
      <c r="A20" s="8">
        <v>6230</v>
      </c>
      <c r="B20" s="8" t="s">
        <v>31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>
        <f t="shared" si="0"/>
        <v>0</v>
      </c>
      <c r="P20" s="10">
        <v>0</v>
      </c>
      <c r="Q20">
        <v>0</v>
      </c>
      <c r="R20">
        <v>0</v>
      </c>
    </row>
    <row r="21" spans="1:18" ht="12.75" hidden="1" outlineLevel="2">
      <c r="A21" s="8">
        <v>6230</v>
      </c>
      <c r="B21" s="8" t="s">
        <v>32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1">
        <f t="shared" si="0"/>
        <v>0</v>
      </c>
      <c r="P21" s="10">
        <v>0</v>
      </c>
      <c r="Q21">
        <v>0</v>
      </c>
      <c r="R21">
        <v>0</v>
      </c>
    </row>
    <row r="22" spans="1:18" ht="12.75" hidden="1" outlineLevel="2">
      <c r="A22" s="8">
        <v>6230</v>
      </c>
      <c r="B22" s="8" t="s">
        <v>33</v>
      </c>
      <c r="C22" s="10">
        <v>333.17</v>
      </c>
      <c r="D22" s="10">
        <v>396.95</v>
      </c>
      <c r="E22" s="10">
        <v>975.83</v>
      </c>
      <c r="F22" s="10">
        <v>352.32</v>
      </c>
      <c r="G22" s="10">
        <v>696.57</v>
      </c>
      <c r="H22" s="10">
        <v>690.03</v>
      </c>
      <c r="I22" s="10">
        <v>524.2</v>
      </c>
      <c r="J22" s="10">
        <v>671.88</v>
      </c>
      <c r="K22" s="10">
        <v>499.56</v>
      </c>
      <c r="L22" s="10">
        <v>369.31</v>
      </c>
      <c r="M22" s="10">
        <v>432.42</v>
      </c>
      <c r="N22" s="10">
        <v>486.66</v>
      </c>
      <c r="O22" s="11">
        <f t="shared" si="0"/>
        <v>6428.900000000001</v>
      </c>
      <c r="P22" s="10">
        <v>258.55</v>
      </c>
      <c r="Q22">
        <v>360.22</v>
      </c>
      <c r="R22">
        <v>342.57</v>
      </c>
    </row>
    <row r="23" spans="1:18" ht="12.75" hidden="1" outlineLevel="2">
      <c r="A23" s="8">
        <v>6230</v>
      </c>
      <c r="B23" s="8" t="s">
        <v>34</v>
      </c>
      <c r="C23" s="10">
        <v>227.17</v>
      </c>
      <c r="D23" s="10">
        <v>147.1</v>
      </c>
      <c r="E23" s="10">
        <v>145.9</v>
      </c>
      <c r="F23" s="10">
        <v>741.31</v>
      </c>
      <c r="G23" s="10">
        <v>756.33</v>
      </c>
      <c r="H23" s="10">
        <v>757.5</v>
      </c>
      <c r="I23" s="10">
        <v>752.45</v>
      </c>
      <c r="J23" s="10">
        <v>761.2</v>
      </c>
      <c r="K23" s="10">
        <v>298.59</v>
      </c>
      <c r="L23" s="10">
        <v>362.61</v>
      </c>
      <c r="M23" s="10">
        <v>738.46</v>
      </c>
      <c r="N23" s="10">
        <v>324.76</v>
      </c>
      <c r="O23" s="11">
        <f t="shared" si="0"/>
        <v>6013.38</v>
      </c>
      <c r="P23" s="10">
        <v>372.3</v>
      </c>
      <c r="Q23">
        <v>799.1</v>
      </c>
      <c r="R23">
        <v>324.19</v>
      </c>
    </row>
    <row r="24" spans="1:18" ht="12.75" hidden="1" outlineLevel="2">
      <c r="A24" s="8">
        <v>6230</v>
      </c>
      <c r="B24" s="8" t="s">
        <v>35</v>
      </c>
      <c r="C24" s="10">
        <v>812.89</v>
      </c>
      <c r="D24" s="10">
        <v>839.49</v>
      </c>
      <c r="E24" s="10">
        <v>52.78</v>
      </c>
      <c r="F24" s="10">
        <v>51.67</v>
      </c>
      <c r="G24" s="10">
        <v>713.52</v>
      </c>
      <c r="H24" s="10">
        <v>56.64</v>
      </c>
      <c r="I24" s="10">
        <v>710.17</v>
      </c>
      <c r="J24" s="10">
        <v>708.96</v>
      </c>
      <c r="K24" s="10">
        <v>59.02</v>
      </c>
      <c r="L24" s="10">
        <v>57.83</v>
      </c>
      <c r="M24" s="10">
        <v>56.64</v>
      </c>
      <c r="N24" s="10">
        <v>59.02</v>
      </c>
      <c r="O24" s="11">
        <f t="shared" si="0"/>
        <v>4178.630000000001</v>
      </c>
      <c r="P24" s="10">
        <v>58.6</v>
      </c>
      <c r="Q24">
        <v>56.64</v>
      </c>
      <c r="R24">
        <v>57.41</v>
      </c>
    </row>
    <row r="25" spans="1:18" ht="12.75" hidden="1" outlineLevel="2">
      <c r="A25" s="8">
        <v>6230</v>
      </c>
      <c r="B25" s="8" t="s">
        <v>36</v>
      </c>
      <c r="C25" s="10">
        <v>31.61</v>
      </c>
      <c r="D25" s="10">
        <v>49.68</v>
      </c>
      <c r="E25" s="10">
        <v>49.69</v>
      </c>
      <c r="F25" s="10">
        <v>195.46</v>
      </c>
      <c r="G25" s="10">
        <v>186.01</v>
      </c>
      <c r="H25" s="10">
        <v>54.77</v>
      </c>
      <c r="I25" s="10">
        <v>195.46</v>
      </c>
      <c r="J25" s="10">
        <v>196.52</v>
      </c>
      <c r="K25" s="10">
        <v>196.51</v>
      </c>
      <c r="L25" s="10">
        <v>197.47</v>
      </c>
      <c r="M25" s="10">
        <v>196.95</v>
      </c>
      <c r="N25" s="10">
        <v>54.75</v>
      </c>
      <c r="O25" s="11">
        <f t="shared" si="0"/>
        <v>1604.88</v>
      </c>
      <c r="P25" s="10">
        <v>55.8</v>
      </c>
      <c r="Q25">
        <v>55.93</v>
      </c>
      <c r="R25">
        <v>201.88</v>
      </c>
    </row>
    <row r="26" spans="1:18" ht="12.75" hidden="1" outlineLevel="2">
      <c r="A26" s="8">
        <v>6230</v>
      </c>
      <c r="B26" s="8" t="s">
        <v>37</v>
      </c>
      <c r="C26" s="10">
        <v>56.62</v>
      </c>
      <c r="D26" s="10">
        <v>66.14</v>
      </c>
      <c r="E26" s="10">
        <v>66.14</v>
      </c>
      <c r="F26" s="10">
        <v>68.6</v>
      </c>
      <c r="G26" s="10">
        <v>68.61</v>
      </c>
      <c r="H26" s="10">
        <v>69.01</v>
      </c>
      <c r="I26" s="10">
        <v>69.83</v>
      </c>
      <c r="J26" s="10">
        <v>70.4</v>
      </c>
      <c r="K26" s="10">
        <v>72.29</v>
      </c>
      <c r="L26" s="10">
        <v>72.3</v>
      </c>
      <c r="M26" s="10">
        <v>72.3</v>
      </c>
      <c r="N26" s="10">
        <v>71.93</v>
      </c>
      <c r="O26" s="11">
        <f t="shared" si="0"/>
        <v>824.1699999999998</v>
      </c>
      <c r="P26" s="10">
        <v>71.63</v>
      </c>
      <c r="Q26">
        <v>71.63</v>
      </c>
      <c r="R26">
        <v>71.63</v>
      </c>
    </row>
    <row r="27" spans="1:18" ht="12.75" hidden="1" outlineLevel="2">
      <c r="A27" s="8">
        <v>6230</v>
      </c>
      <c r="B27" s="8" t="s">
        <v>38</v>
      </c>
      <c r="C27" s="10">
        <v>482.18</v>
      </c>
      <c r="D27" s="10">
        <v>470.89</v>
      </c>
      <c r="E27" s="10">
        <v>624.31</v>
      </c>
      <c r="F27" s="10">
        <v>81.9</v>
      </c>
      <c r="G27" s="10">
        <v>343.56</v>
      </c>
      <c r="H27" s="10">
        <v>338.94</v>
      </c>
      <c r="I27" s="10">
        <v>385.98</v>
      </c>
      <c r="J27" s="10">
        <v>343.98</v>
      </c>
      <c r="K27" s="10">
        <v>319.62</v>
      </c>
      <c r="L27" s="10">
        <v>341.04</v>
      </c>
      <c r="M27" s="10">
        <v>310.76</v>
      </c>
      <c r="N27" s="10">
        <v>380.25</v>
      </c>
      <c r="O27" s="11">
        <f t="shared" si="0"/>
        <v>4423.41</v>
      </c>
      <c r="P27" s="10">
        <v>273.8</v>
      </c>
      <c r="Q27">
        <v>318.74</v>
      </c>
      <c r="R27">
        <v>294.82</v>
      </c>
    </row>
    <row r="28" spans="1:18" ht="12.75" hidden="1" outlineLevel="2">
      <c r="A28" s="8">
        <v>6230</v>
      </c>
      <c r="B28" s="8" t="s">
        <v>39</v>
      </c>
      <c r="C28" s="10">
        <v>54.02</v>
      </c>
      <c r="D28" s="10">
        <v>60.33</v>
      </c>
      <c r="E28" s="10">
        <v>60.3</v>
      </c>
      <c r="F28" s="10">
        <v>33.48</v>
      </c>
      <c r="G28" s="10">
        <v>34.02</v>
      </c>
      <c r="H28" s="10">
        <v>34.02</v>
      </c>
      <c r="I28" s="10">
        <v>34.02</v>
      </c>
      <c r="J28" s="10">
        <v>5.94</v>
      </c>
      <c r="K28" s="10">
        <v>5.94</v>
      </c>
      <c r="L28" s="10">
        <v>29.16</v>
      </c>
      <c r="M28" s="10">
        <v>29.16</v>
      </c>
      <c r="N28" s="10">
        <v>29.16</v>
      </c>
      <c r="O28" s="11">
        <f t="shared" si="0"/>
        <v>409.55</v>
      </c>
      <c r="P28" s="10">
        <v>29.16</v>
      </c>
      <c r="Q28">
        <v>29.16</v>
      </c>
      <c r="R28">
        <v>5.94</v>
      </c>
    </row>
    <row r="29" spans="1:18" ht="12.75" hidden="1" outlineLevel="2">
      <c r="A29" s="8">
        <v>6230</v>
      </c>
      <c r="B29" s="8" t="s">
        <v>40</v>
      </c>
      <c r="C29" s="10">
        <v>0.36</v>
      </c>
      <c r="D29" s="10">
        <v>0.05</v>
      </c>
      <c r="E29" s="10">
        <v>1.29</v>
      </c>
      <c r="F29" s="10">
        <v>3.54</v>
      </c>
      <c r="G29" s="10">
        <v>2.25</v>
      </c>
      <c r="H29" s="10">
        <v>250.5</v>
      </c>
      <c r="I29" s="10">
        <v>2.25</v>
      </c>
      <c r="J29" s="10">
        <v>2.25</v>
      </c>
      <c r="K29" s="10">
        <v>2.25</v>
      </c>
      <c r="L29" s="10">
        <v>2.25</v>
      </c>
      <c r="M29" s="10">
        <v>2.25</v>
      </c>
      <c r="N29" s="10">
        <v>2.25</v>
      </c>
      <c r="O29" s="11">
        <f t="shared" si="0"/>
        <v>271.49</v>
      </c>
      <c r="P29" s="10">
        <v>2.25</v>
      </c>
      <c r="Q29">
        <v>2.25</v>
      </c>
      <c r="R29">
        <v>2.25</v>
      </c>
    </row>
    <row r="30" spans="1:18" ht="12.75" hidden="1" outlineLevel="2">
      <c r="A30" s="8">
        <v>6230</v>
      </c>
      <c r="B30" s="8" t="s">
        <v>41</v>
      </c>
      <c r="C30" s="10">
        <v>0</v>
      </c>
      <c r="D30" s="10">
        <v>0</v>
      </c>
      <c r="E30" s="10">
        <v>0</v>
      </c>
      <c r="F30" s="10">
        <v>54.6</v>
      </c>
      <c r="G30" s="10">
        <v>54.6</v>
      </c>
      <c r="H30" s="10">
        <v>54.6</v>
      </c>
      <c r="I30" s="10">
        <v>54.6</v>
      </c>
      <c r="J30" s="10">
        <v>0</v>
      </c>
      <c r="K30" s="10">
        <v>53.55</v>
      </c>
      <c r="L30" s="10">
        <v>0</v>
      </c>
      <c r="M30" s="10">
        <v>52.5</v>
      </c>
      <c r="N30" s="10">
        <v>0</v>
      </c>
      <c r="O30" s="11">
        <f t="shared" si="0"/>
        <v>324.45</v>
      </c>
      <c r="P30" s="10">
        <v>0</v>
      </c>
      <c r="Q30">
        <v>0</v>
      </c>
      <c r="R30">
        <v>0</v>
      </c>
    </row>
    <row r="31" spans="1:18" ht="12.75" hidden="1" outlineLevel="2">
      <c r="A31" s="8">
        <v>6230</v>
      </c>
      <c r="B31" s="8" t="s">
        <v>42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>
        <f t="shared" si="0"/>
        <v>0</v>
      </c>
      <c r="P31" s="10">
        <v>0</v>
      </c>
      <c r="Q31">
        <v>0</v>
      </c>
      <c r="R31">
        <v>0</v>
      </c>
    </row>
    <row r="32" spans="1:18" ht="12.75" hidden="1" outlineLevel="2">
      <c r="A32" s="8">
        <v>6230</v>
      </c>
      <c r="B32" s="8" t="s">
        <v>43</v>
      </c>
      <c r="C32" s="10">
        <v>3.19</v>
      </c>
      <c r="D32" s="10">
        <v>5.49</v>
      </c>
      <c r="E32" s="10">
        <v>5.46</v>
      </c>
      <c r="F32" s="10">
        <v>4.06</v>
      </c>
      <c r="G32" s="10">
        <v>4.06</v>
      </c>
      <c r="H32" s="10">
        <v>4.06</v>
      </c>
      <c r="I32" s="10">
        <v>4.06</v>
      </c>
      <c r="J32" s="10">
        <v>4.06</v>
      </c>
      <c r="K32" s="10">
        <v>0.15</v>
      </c>
      <c r="L32" s="10">
        <v>4.23</v>
      </c>
      <c r="M32" s="10">
        <v>4.23</v>
      </c>
      <c r="N32" s="10">
        <v>4.23</v>
      </c>
      <c r="O32" s="11">
        <f t="shared" si="0"/>
        <v>47.28</v>
      </c>
      <c r="P32" s="10">
        <v>4.23</v>
      </c>
      <c r="Q32">
        <v>4.09</v>
      </c>
      <c r="R32">
        <v>4.08</v>
      </c>
    </row>
    <row r="33" spans="1:18" ht="12.75" hidden="1" outlineLevel="2">
      <c r="A33" s="8">
        <v>6230</v>
      </c>
      <c r="B33" s="8" t="s">
        <v>44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>
        <f t="shared" si="0"/>
        <v>0</v>
      </c>
      <c r="P33" s="10">
        <v>0</v>
      </c>
      <c r="Q33">
        <v>0</v>
      </c>
      <c r="R33">
        <v>0</v>
      </c>
    </row>
    <row r="34" spans="1:18" ht="12.75" hidden="1" outlineLevel="2">
      <c r="A34" s="8">
        <v>6230</v>
      </c>
      <c r="B34" s="8" t="s">
        <v>45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>
        <f aca="true" t="shared" si="7" ref="O34:O42">SUM(C34:K34)</f>
        <v>0</v>
      </c>
      <c r="P34" s="10">
        <v>0</v>
      </c>
      <c r="Q34">
        <v>0</v>
      </c>
      <c r="R34">
        <v>0</v>
      </c>
    </row>
    <row r="35" spans="1:18" ht="12.75" hidden="1" outlineLevel="2">
      <c r="A35" s="8">
        <v>6230</v>
      </c>
      <c r="B35" s="8" t="s">
        <v>46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>
        <f t="shared" si="7"/>
        <v>0</v>
      </c>
      <c r="P35" s="10">
        <v>0</v>
      </c>
      <c r="Q35">
        <v>0</v>
      </c>
      <c r="R35">
        <v>0</v>
      </c>
    </row>
    <row r="36" spans="1:18" ht="12.75" hidden="1" outlineLevel="2">
      <c r="A36" s="8">
        <v>6230</v>
      </c>
      <c r="B36" s="8" t="s">
        <v>47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>
        <f t="shared" si="7"/>
        <v>0</v>
      </c>
      <c r="P36" s="10">
        <v>0</v>
      </c>
      <c r="Q36">
        <v>0</v>
      </c>
      <c r="R36">
        <v>0</v>
      </c>
    </row>
    <row r="37" spans="1:18" ht="12.75" hidden="1" outlineLevel="2">
      <c r="A37" s="8">
        <v>6230</v>
      </c>
      <c r="B37" s="8" t="s">
        <v>48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1">
        <f t="shared" si="7"/>
        <v>0</v>
      </c>
      <c r="P37" s="10">
        <v>0</v>
      </c>
      <c r="Q37">
        <v>0</v>
      </c>
      <c r="R37">
        <v>0</v>
      </c>
    </row>
    <row r="38" spans="1:18" ht="12.75" hidden="1" outlineLevel="2">
      <c r="A38" s="8">
        <v>6230</v>
      </c>
      <c r="B38" s="8" t="s">
        <v>49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1">
        <f t="shared" si="7"/>
        <v>0</v>
      </c>
      <c r="P38" s="10">
        <v>0</v>
      </c>
      <c r="Q38">
        <v>0</v>
      </c>
      <c r="R38">
        <v>0</v>
      </c>
    </row>
    <row r="39" spans="1:18" ht="12.75" hidden="1" outlineLevel="2">
      <c r="A39" s="8">
        <v>6230</v>
      </c>
      <c r="B39" s="8" t="s">
        <v>50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1">
        <f t="shared" si="7"/>
        <v>0</v>
      </c>
      <c r="P39" s="10">
        <v>0</v>
      </c>
      <c r="Q39">
        <v>0</v>
      </c>
      <c r="R39">
        <v>0</v>
      </c>
    </row>
    <row r="40" spans="1:18" ht="12.75" hidden="1" outlineLevel="2">
      <c r="A40" s="8">
        <v>6230</v>
      </c>
      <c r="B40" s="8" t="s">
        <v>51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1">
        <f t="shared" si="7"/>
        <v>0</v>
      </c>
      <c r="P40" s="10">
        <v>0</v>
      </c>
      <c r="Q40">
        <v>0</v>
      </c>
      <c r="R40">
        <v>0</v>
      </c>
    </row>
    <row r="41" spans="1:18" ht="12.75" hidden="1" outlineLevel="2">
      <c r="A41" s="8">
        <v>6230</v>
      </c>
      <c r="B41" s="8" t="s">
        <v>52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1">
        <f t="shared" si="7"/>
        <v>0</v>
      </c>
      <c r="P41" s="10">
        <v>0</v>
      </c>
      <c r="Q41">
        <v>0</v>
      </c>
      <c r="R41">
        <v>0</v>
      </c>
    </row>
    <row r="42" spans="1:18" ht="12.75" hidden="1" outlineLevel="2">
      <c r="A42" s="8">
        <v>6230</v>
      </c>
      <c r="B42" s="8" t="s">
        <v>53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1">
        <f t="shared" si="7"/>
        <v>0</v>
      </c>
      <c r="P42" s="10">
        <v>0</v>
      </c>
      <c r="Q42">
        <v>0</v>
      </c>
      <c r="R42">
        <v>0</v>
      </c>
    </row>
    <row r="43" spans="1:18" ht="12.75" hidden="1" outlineLevel="2">
      <c r="A43" s="8">
        <v>6230</v>
      </c>
      <c r="B43" s="8" t="s">
        <v>54</v>
      </c>
      <c r="C43" s="10">
        <v>319.3</v>
      </c>
      <c r="D43" s="10">
        <v>422.35</v>
      </c>
      <c r="E43" s="10">
        <v>420.37</v>
      </c>
      <c r="F43" s="10">
        <v>420.07</v>
      </c>
      <c r="G43" s="10">
        <v>421.34</v>
      </c>
      <c r="H43" s="10">
        <v>423.01</v>
      </c>
      <c r="I43" s="10">
        <v>477.89</v>
      </c>
      <c r="J43" s="10">
        <v>454.33</v>
      </c>
      <c r="K43" s="10">
        <v>451.87</v>
      </c>
      <c r="L43" s="10">
        <v>427.14</v>
      </c>
      <c r="M43" s="10">
        <v>438.51</v>
      </c>
      <c r="N43" s="10">
        <v>441.95</v>
      </c>
      <c r="O43" s="11">
        <f aca="true" t="shared" si="8" ref="O43:O71">SUM(C43:N43)</f>
        <v>5118.129999999999</v>
      </c>
      <c r="P43" s="10">
        <v>413.69</v>
      </c>
      <c r="Q43">
        <v>445.9</v>
      </c>
      <c r="R43">
        <v>455.11</v>
      </c>
    </row>
    <row r="44" spans="1:18" ht="12.75" hidden="1" outlineLevel="2">
      <c r="A44" s="8">
        <v>6230</v>
      </c>
      <c r="B44" s="8" t="s">
        <v>55</v>
      </c>
      <c r="C44" s="10">
        <v>268.53</v>
      </c>
      <c r="D44" s="10">
        <v>176.41</v>
      </c>
      <c r="E44" s="10">
        <v>178.52</v>
      </c>
      <c r="F44" s="10">
        <v>179.24</v>
      </c>
      <c r="G44" s="10">
        <v>182.26</v>
      </c>
      <c r="H44" s="10">
        <v>176.59</v>
      </c>
      <c r="I44" s="10">
        <v>179.65</v>
      </c>
      <c r="J44" s="10">
        <v>180.6</v>
      </c>
      <c r="K44" s="10">
        <v>181.32</v>
      </c>
      <c r="L44" s="10">
        <v>184.09</v>
      </c>
      <c r="M44" s="10">
        <v>186.73</v>
      </c>
      <c r="N44" s="10">
        <v>189.08</v>
      </c>
      <c r="O44" s="11">
        <f t="shared" si="8"/>
        <v>2263.0199999999995</v>
      </c>
      <c r="P44" s="10">
        <v>191.39</v>
      </c>
      <c r="Q44">
        <v>191.4</v>
      </c>
      <c r="R44">
        <v>195.57</v>
      </c>
    </row>
    <row r="45" spans="1:18" ht="12.75" hidden="1" outlineLevel="2">
      <c r="A45" s="8">
        <v>6230</v>
      </c>
      <c r="B45" s="8" t="s">
        <v>56</v>
      </c>
      <c r="C45" s="10">
        <v>25.58</v>
      </c>
      <c r="D45" s="10">
        <v>147.93</v>
      </c>
      <c r="E45" s="10">
        <v>156.92</v>
      </c>
      <c r="F45" s="10">
        <v>96.37</v>
      </c>
      <c r="G45" s="10">
        <v>96.42</v>
      </c>
      <c r="H45" s="10">
        <v>87.84</v>
      </c>
      <c r="I45" s="10">
        <v>84.49</v>
      </c>
      <c r="J45" s="10">
        <v>97.58</v>
      </c>
      <c r="K45" s="10">
        <v>82.51</v>
      </c>
      <c r="L45" s="10">
        <v>86.99</v>
      </c>
      <c r="M45" s="10">
        <v>94.27</v>
      </c>
      <c r="N45" s="10">
        <v>78.31</v>
      </c>
      <c r="O45" s="11">
        <f t="shared" si="8"/>
        <v>1135.21</v>
      </c>
      <c r="P45" s="10">
        <v>92.22</v>
      </c>
      <c r="Q45">
        <v>91.06</v>
      </c>
      <c r="R45">
        <v>90.73</v>
      </c>
    </row>
    <row r="46" spans="1:18" ht="12.75" hidden="1" outlineLevel="2">
      <c r="A46" s="8">
        <v>6230</v>
      </c>
      <c r="B46" s="8" t="s">
        <v>57</v>
      </c>
      <c r="C46" s="10">
        <v>-8.08</v>
      </c>
      <c r="D46" s="10">
        <v>-11.1</v>
      </c>
      <c r="E46" s="10">
        <v>-20.53</v>
      </c>
      <c r="F46" s="10">
        <v>56.01</v>
      </c>
      <c r="G46" s="10">
        <v>55.2</v>
      </c>
      <c r="H46" s="10">
        <v>54.19</v>
      </c>
      <c r="I46" s="10">
        <v>55.34</v>
      </c>
      <c r="J46" s="10">
        <v>79.23</v>
      </c>
      <c r="K46" s="10">
        <v>66.83</v>
      </c>
      <c r="L46" s="10">
        <v>52.91</v>
      </c>
      <c r="M46" s="10">
        <v>69.36</v>
      </c>
      <c r="N46" s="10">
        <v>64.95</v>
      </c>
      <c r="O46" s="11">
        <f t="shared" si="8"/>
        <v>514.3100000000001</v>
      </c>
      <c r="P46" s="10">
        <v>78.69</v>
      </c>
      <c r="Q46">
        <v>54.76</v>
      </c>
      <c r="R46">
        <v>53.63</v>
      </c>
    </row>
    <row r="47" spans="1:18" ht="12.75" hidden="1" outlineLevel="2">
      <c r="A47" s="8">
        <v>6230</v>
      </c>
      <c r="B47" s="8" t="s">
        <v>58</v>
      </c>
      <c r="C47" s="10">
        <v>638.7</v>
      </c>
      <c r="D47" s="10">
        <v>91.05</v>
      </c>
      <c r="E47" s="10">
        <v>91.9</v>
      </c>
      <c r="F47" s="10">
        <v>92.29</v>
      </c>
      <c r="G47" s="10">
        <v>92.25</v>
      </c>
      <c r="H47" s="10">
        <v>92.28</v>
      </c>
      <c r="I47" s="10">
        <v>34</v>
      </c>
      <c r="J47" s="10">
        <v>64.97</v>
      </c>
      <c r="K47" s="10">
        <v>63.76</v>
      </c>
      <c r="L47" s="10">
        <v>92.27</v>
      </c>
      <c r="M47" s="10">
        <v>92.27</v>
      </c>
      <c r="N47" s="10">
        <v>92.27</v>
      </c>
      <c r="O47" s="11">
        <f t="shared" si="8"/>
        <v>1538.01</v>
      </c>
      <c r="P47" s="10">
        <v>92.49</v>
      </c>
      <c r="Q47">
        <v>94.8</v>
      </c>
      <c r="R47">
        <v>90.74</v>
      </c>
    </row>
    <row r="48" spans="1:18" ht="12.75" hidden="1" outlineLevel="2">
      <c r="A48" s="8">
        <v>6230</v>
      </c>
      <c r="B48" s="8" t="s">
        <v>59</v>
      </c>
      <c r="C48" s="10">
        <v>95.1</v>
      </c>
      <c r="D48" s="10">
        <v>179.26</v>
      </c>
      <c r="E48" s="10">
        <v>181.28</v>
      </c>
      <c r="F48" s="10">
        <v>180.28</v>
      </c>
      <c r="G48" s="10">
        <v>178.85</v>
      </c>
      <c r="H48" s="10">
        <v>177.42</v>
      </c>
      <c r="I48" s="10">
        <v>179.86</v>
      </c>
      <c r="J48" s="10">
        <v>179.47</v>
      </c>
      <c r="K48" s="10">
        <v>178.06</v>
      </c>
      <c r="L48" s="10">
        <v>178.55</v>
      </c>
      <c r="M48" s="10">
        <v>176.66</v>
      </c>
      <c r="N48" s="10">
        <v>175.2</v>
      </c>
      <c r="O48" s="11">
        <f t="shared" si="8"/>
        <v>2059.99</v>
      </c>
      <c r="P48" s="10">
        <v>174.3</v>
      </c>
      <c r="Q48">
        <v>175.47</v>
      </c>
      <c r="R48">
        <v>177.6</v>
      </c>
    </row>
    <row r="49" spans="1:18" ht="12.75" hidden="1" outlineLevel="2">
      <c r="A49" s="8">
        <v>6230</v>
      </c>
      <c r="B49" s="8" t="s">
        <v>60</v>
      </c>
      <c r="C49" s="10">
        <v>21.61</v>
      </c>
      <c r="D49" s="10">
        <v>54.1</v>
      </c>
      <c r="E49" s="10">
        <v>54.11</v>
      </c>
      <c r="F49" s="10">
        <v>54.09</v>
      </c>
      <c r="G49" s="10">
        <v>54.1</v>
      </c>
      <c r="H49" s="10">
        <v>53.63</v>
      </c>
      <c r="I49" s="10">
        <v>53.63</v>
      </c>
      <c r="J49" s="10">
        <v>53.3</v>
      </c>
      <c r="K49" s="10">
        <v>51.2</v>
      </c>
      <c r="L49" s="10">
        <v>51.63</v>
      </c>
      <c r="M49" s="10">
        <v>51.27</v>
      </c>
      <c r="N49" s="10">
        <v>51.77</v>
      </c>
      <c r="O49" s="11">
        <f t="shared" si="8"/>
        <v>604.4399999999999</v>
      </c>
      <c r="P49" s="10">
        <v>52.1</v>
      </c>
      <c r="Q49">
        <v>50.74</v>
      </c>
      <c r="R49">
        <v>52.1</v>
      </c>
    </row>
    <row r="50" spans="1:18" ht="12.75" hidden="1" outlineLevel="2">
      <c r="A50" s="8">
        <v>6230</v>
      </c>
      <c r="B50" s="8" t="s">
        <v>61</v>
      </c>
      <c r="C50" s="10">
        <v>12.1</v>
      </c>
      <c r="D50" s="10">
        <v>33.95</v>
      </c>
      <c r="E50" s="10">
        <v>33.86</v>
      </c>
      <c r="F50" s="10">
        <v>28.04</v>
      </c>
      <c r="G50" s="10">
        <v>25.43</v>
      </c>
      <c r="H50" s="10">
        <v>34.89</v>
      </c>
      <c r="I50" s="10">
        <v>35.23</v>
      </c>
      <c r="J50" s="10">
        <v>23.24</v>
      </c>
      <c r="K50" s="10">
        <v>39.55</v>
      </c>
      <c r="L50" s="10">
        <v>29.96</v>
      </c>
      <c r="M50" s="10">
        <v>21.79</v>
      </c>
      <c r="N50" s="10">
        <v>38.17</v>
      </c>
      <c r="O50" s="11">
        <f t="shared" si="8"/>
        <v>356.21</v>
      </c>
      <c r="P50" s="10">
        <v>23.08</v>
      </c>
      <c r="Q50">
        <v>31.29</v>
      </c>
      <c r="R50">
        <v>23.6</v>
      </c>
    </row>
    <row r="51" spans="1:18" ht="12.75" hidden="1" outlineLevel="2">
      <c r="A51" s="8">
        <v>6230</v>
      </c>
      <c r="B51" s="8" t="s">
        <v>62</v>
      </c>
      <c r="C51" s="10">
        <v>0.92</v>
      </c>
      <c r="D51" s="10">
        <v>3.68</v>
      </c>
      <c r="E51" s="10">
        <v>3.56</v>
      </c>
      <c r="F51" s="10">
        <v>2.72</v>
      </c>
      <c r="G51" s="10">
        <v>2.72</v>
      </c>
      <c r="H51" s="10">
        <v>2.72</v>
      </c>
      <c r="I51" s="10">
        <v>2.72</v>
      </c>
      <c r="J51" s="10">
        <v>2.72</v>
      </c>
      <c r="K51" s="10">
        <v>2.72</v>
      </c>
      <c r="L51" s="10">
        <v>2.72</v>
      </c>
      <c r="M51" s="10">
        <v>2.72</v>
      </c>
      <c r="N51" s="10">
        <v>2.72</v>
      </c>
      <c r="O51" s="11">
        <f t="shared" si="8"/>
        <v>32.63999999999999</v>
      </c>
      <c r="P51" s="10">
        <v>2.72</v>
      </c>
      <c r="Q51">
        <v>4.92</v>
      </c>
      <c r="R51">
        <v>5.32</v>
      </c>
    </row>
    <row r="52" spans="1:18" ht="12.75" hidden="1" outlineLevel="2">
      <c r="A52" s="8">
        <v>6230</v>
      </c>
      <c r="B52" s="8" t="s">
        <v>63</v>
      </c>
      <c r="C52" s="10">
        <v>0.4</v>
      </c>
      <c r="D52" s="10">
        <v>0.79</v>
      </c>
      <c r="E52" s="10">
        <v>0.79</v>
      </c>
      <c r="F52" s="10">
        <v>0.79</v>
      </c>
      <c r="G52" s="10">
        <v>0.79</v>
      </c>
      <c r="H52" s="10">
        <v>0.79</v>
      </c>
      <c r="I52" s="10">
        <v>0.79</v>
      </c>
      <c r="J52" s="10">
        <v>0.79</v>
      </c>
      <c r="K52" s="10">
        <v>0.79</v>
      </c>
      <c r="L52" s="10">
        <v>0.94</v>
      </c>
      <c r="M52" s="10">
        <v>0.94</v>
      </c>
      <c r="N52" s="10">
        <v>0.94</v>
      </c>
      <c r="O52" s="11">
        <f t="shared" si="8"/>
        <v>9.54</v>
      </c>
      <c r="P52" s="10">
        <v>0.94</v>
      </c>
      <c r="Q52">
        <v>0.94</v>
      </c>
      <c r="R52">
        <v>0.94</v>
      </c>
    </row>
    <row r="53" spans="1:18" ht="12.75" hidden="1" outlineLevel="2">
      <c r="A53" s="8">
        <v>6230</v>
      </c>
      <c r="B53" s="8" t="s">
        <v>64</v>
      </c>
      <c r="C53" s="10">
        <v>0.14</v>
      </c>
      <c r="D53" s="10">
        <v>0.2</v>
      </c>
      <c r="E53" s="10">
        <v>0.2</v>
      </c>
      <c r="F53" s="10">
        <v>0.2</v>
      </c>
      <c r="G53" s="10">
        <v>0.2</v>
      </c>
      <c r="H53" s="10">
        <v>0.2</v>
      </c>
      <c r="I53" s="10">
        <v>0.2</v>
      </c>
      <c r="J53" s="10">
        <v>0.2</v>
      </c>
      <c r="K53" s="10">
        <v>0.2</v>
      </c>
      <c r="L53" s="10">
        <v>0.2</v>
      </c>
      <c r="M53" s="10">
        <v>0.2</v>
      </c>
      <c r="N53" s="10">
        <v>0.2</v>
      </c>
      <c r="O53" s="11">
        <f t="shared" si="8"/>
        <v>2.34</v>
      </c>
      <c r="P53" s="10">
        <v>0.2</v>
      </c>
      <c r="Q53">
        <v>0.2</v>
      </c>
      <c r="R53">
        <v>0.2</v>
      </c>
    </row>
    <row r="54" spans="1:18" ht="12.75" hidden="1" outlineLevel="2">
      <c r="A54" s="8">
        <v>6230</v>
      </c>
      <c r="B54" s="8" t="s">
        <v>65</v>
      </c>
      <c r="C54" s="10">
        <v>0.33</v>
      </c>
      <c r="D54" s="10">
        <v>2.4</v>
      </c>
      <c r="E54" s="10">
        <v>2.4</v>
      </c>
      <c r="F54" s="10">
        <v>2.4</v>
      </c>
      <c r="G54" s="10">
        <v>2.4</v>
      </c>
      <c r="H54" s="10">
        <v>2.4</v>
      </c>
      <c r="I54" s="10">
        <v>2.4</v>
      </c>
      <c r="J54" s="10">
        <v>2.4</v>
      </c>
      <c r="K54" s="10">
        <v>2.4</v>
      </c>
      <c r="L54" s="10">
        <v>2.4</v>
      </c>
      <c r="M54" s="10">
        <v>2.4</v>
      </c>
      <c r="N54" s="10">
        <v>2.4</v>
      </c>
      <c r="O54" s="11">
        <f t="shared" si="8"/>
        <v>26.729999999999993</v>
      </c>
      <c r="P54" s="10">
        <v>2.4</v>
      </c>
      <c r="Q54">
        <v>2.4</v>
      </c>
      <c r="R54">
        <v>2.4</v>
      </c>
    </row>
    <row r="55" spans="1:18" ht="12.75" hidden="1" outlineLevel="2">
      <c r="A55" s="8">
        <v>6230</v>
      </c>
      <c r="B55" s="8" t="s">
        <v>66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1">
        <f t="shared" si="8"/>
        <v>0</v>
      </c>
      <c r="P55" s="10">
        <v>0</v>
      </c>
      <c r="Q55">
        <v>0</v>
      </c>
      <c r="R55">
        <v>0</v>
      </c>
    </row>
    <row r="56" spans="1:18" ht="12.75" hidden="1" outlineLevel="2">
      <c r="A56" s="8">
        <v>6230</v>
      </c>
      <c r="B56" s="8" t="s">
        <v>67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1">
        <f t="shared" si="8"/>
        <v>0</v>
      </c>
      <c r="P56" s="10">
        <v>0</v>
      </c>
      <c r="Q56">
        <v>0</v>
      </c>
      <c r="R56">
        <v>0</v>
      </c>
    </row>
    <row r="57" spans="1:18" ht="12.75" hidden="1" outlineLevel="2">
      <c r="A57" s="8">
        <v>6230</v>
      </c>
      <c r="B57" s="8" t="s">
        <v>68</v>
      </c>
      <c r="C57" s="10">
        <v>0.13</v>
      </c>
      <c r="D57" s="10">
        <v>0.23</v>
      </c>
      <c r="E57" s="10">
        <v>0.23</v>
      </c>
      <c r="F57" s="10">
        <v>0.23</v>
      </c>
      <c r="G57" s="10">
        <v>0.23</v>
      </c>
      <c r="H57" s="10">
        <v>0.23</v>
      </c>
      <c r="I57" s="10">
        <v>0.23</v>
      </c>
      <c r="J57" s="10">
        <v>0.23</v>
      </c>
      <c r="K57" s="10">
        <v>0</v>
      </c>
      <c r="L57" s="10">
        <v>0</v>
      </c>
      <c r="M57" s="10">
        <v>0</v>
      </c>
      <c r="N57" s="10">
        <v>0</v>
      </c>
      <c r="O57" s="11">
        <f t="shared" si="8"/>
        <v>1.74</v>
      </c>
      <c r="P57" s="10">
        <v>0</v>
      </c>
      <c r="Q57">
        <v>0</v>
      </c>
      <c r="R57">
        <v>0</v>
      </c>
    </row>
    <row r="58" spans="1:18" ht="12.75" hidden="1" outlineLevel="2">
      <c r="A58" s="8">
        <v>6230</v>
      </c>
      <c r="B58" s="8" t="s">
        <v>69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1">
        <f t="shared" si="8"/>
        <v>0</v>
      </c>
      <c r="P58" s="10">
        <v>0</v>
      </c>
      <c r="Q58">
        <v>0</v>
      </c>
      <c r="R58">
        <v>0</v>
      </c>
    </row>
    <row r="59" spans="1:18" ht="12.75" hidden="1" outlineLevel="2">
      <c r="A59" s="8">
        <v>6230</v>
      </c>
      <c r="B59" s="8" t="s">
        <v>70</v>
      </c>
      <c r="C59" s="10">
        <v>0.02</v>
      </c>
      <c r="D59" s="10">
        <v>0.47</v>
      </c>
      <c r="E59" s="10">
        <v>0.47</v>
      </c>
      <c r="F59" s="10">
        <v>0.47</v>
      </c>
      <c r="G59" s="10">
        <v>0.47</v>
      </c>
      <c r="H59" s="10">
        <v>0.47</v>
      </c>
      <c r="I59" s="10">
        <v>0.47</v>
      </c>
      <c r="J59" s="10">
        <v>0.47</v>
      </c>
      <c r="K59" s="10">
        <v>0.47</v>
      </c>
      <c r="L59" s="10">
        <v>0.47</v>
      </c>
      <c r="M59" s="10">
        <v>0.47</v>
      </c>
      <c r="N59" s="10">
        <v>0.47</v>
      </c>
      <c r="O59" s="11">
        <f t="shared" si="8"/>
        <v>5.189999999999999</v>
      </c>
      <c r="P59" s="10">
        <v>0.47</v>
      </c>
      <c r="Q59">
        <v>0.47</v>
      </c>
      <c r="R59">
        <v>0.47</v>
      </c>
    </row>
    <row r="60" spans="1:18" ht="12.75" hidden="1" outlineLevel="2">
      <c r="A60" s="8">
        <v>6230</v>
      </c>
      <c r="B60" s="8" t="s">
        <v>71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1">
        <f t="shared" si="8"/>
        <v>0</v>
      </c>
      <c r="P60" s="10">
        <v>0</v>
      </c>
      <c r="Q60">
        <v>0</v>
      </c>
      <c r="R60">
        <v>0</v>
      </c>
    </row>
    <row r="61" spans="1:18" ht="12.75" hidden="1" outlineLevel="2">
      <c r="A61" s="8">
        <v>6230</v>
      </c>
      <c r="B61" s="8" t="s">
        <v>72</v>
      </c>
      <c r="C61" s="10">
        <v>119.4</v>
      </c>
      <c r="D61" s="10">
        <v>121.45</v>
      </c>
      <c r="E61" s="10">
        <v>121.45</v>
      </c>
      <c r="F61" s="10">
        <v>121.8</v>
      </c>
      <c r="G61" s="10">
        <v>121.8</v>
      </c>
      <c r="H61" s="10">
        <v>122.44</v>
      </c>
      <c r="I61" s="10">
        <v>123.14</v>
      </c>
      <c r="J61" s="10">
        <v>123.14</v>
      </c>
      <c r="K61" s="10">
        <v>123.14</v>
      </c>
      <c r="L61" s="10">
        <v>123.14</v>
      </c>
      <c r="M61" s="10">
        <v>123.14</v>
      </c>
      <c r="N61" s="10">
        <v>123.14</v>
      </c>
      <c r="O61" s="11">
        <f t="shared" si="8"/>
        <v>1467.1800000000003</v>
      </c>
      <c r="P61" s="10">
        <v>123.15</v>
      </c>
      <c r="Q61">
        <v>123.15</v>
      </c>
      <c r="R61">
        <v>123.14</v>
      </c>
    </row>
    <row r="62" spans="1:18" ht="12.75" hidden="1" outlineLevel="2">
      <c r="A62" s="8">
        <v>6230</v>
      </c>
      <c r="B62" s="8" t="s">
        <v>73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1">
        <f t="shared" si="8"/>
        <v>0</v>
      </c>
      <c r="P62" s="10">
        <v>0</v>
      </c>
      <c r="Q62">
        <v>0</v>
      </c>
      <c r="R62">
        <v>0</v>
      </c>
    </row>
    <row r="63" spans="1:18" ht="12.75" hidden="1" outlineLevel="2">
      <c r="A63" s="8">
        <v>6230</v>
      </c>
      <c r="B63" s="8" t="s">
        <v>74</v>
      </c>
      <c r="C63" s="10">
        <v>0.47</v>
      </c>
      <c r="D63" s="10">
        <v>0.56</v>
      </c>
      <c r="E63" s="10">
        <v>0.56</v>
      </c>
      <c r="F63" s="10">
        <v>0.56</v>
      </c>
      <c r="G63" s="10">
        <v>0.56</v>
      </c>
      <c r="H63" s="10">
        <v>0.56</v>
      </c>
      <c r="I63" s="10">
        <v>0.56</v>
      </c>
      <c r="J63" s="10">
        <v>0.56</v>
      </c>
      <c r="K63" s="10">
        <v>0.56</v>
      </c>
      <c r="L63" s="10">
        <v>0.56</v>
      </c>
      <c r="M63" s="10">
        <v>0.56</v>
      </c>
      <c r="N63" s="10">
        <v>0.56</v>
      </c>
      <c r="O63" s="11">
        <f t="shared" si="8"/>
        <v>6.630000000000003</v>
      </c>
      <c r="P63" s="10">
        <v>0</v>
      </c>
      <c r="Q63">
        <v>0</v>
      </c>
      <c r="R63">
        <v>0</v>
      </c>
    </row>
    <row r="64" spans="1:18" ht="12.75" outlineLevel="1" collapsed="1">
      <c r="A64" s="3" t="s">
        <v>89</v>
      </c>
      <c r="C64" s="10">
        <f aca="true" t="shared" si="9" ref="C64:L64">SUBTOTAL(9,C19:C63)</f>
        <v>3495.8599999999997</v>
      </c>
      <c r="D64" s="10">
        <f t="shared" si="9"/>
        <v>3259.8499999999985</v>
      </c>
      <c r="E64" s="10">
        <f t="shared" si="9"/>
        <v>3207.79</v>
      </c>
      <c r="F64" s="10">
        <f t="shared" si="9"/>
        <v>2822.5</v>
      </c>
      <c r="G64" s="10">
        <f t="shared" si="9"/>
        <v>4094.5499999999993</v>
      </c>
      <c r="H64" s="10">
        <f t="shared" si="9"/>
        <v>3539.73</v>
      </c>
      <c r="I64" s="10">
        <f t="shared" si="9"/>
        <v>3963.6199999999994</v>
      </c>
      <c r="J64" s="10">
        <f t="shared" si="9"/>
        <v>4028.6299999999987</v>
      </c>
      <c r="K64" s="10">
        <f t="shared" si="9"/>
        <v>2752.8599999999997</v>
      </c>
      <c r="L64" s="10">
        <f t="shared" si="9"/>
        <v>2670.1699999999996</v>
      </c>
      <c r="M64" s="10">
        <f>SUBTOTAL(9,M19:M63)</f>
        <v>3156.9599999999996</v>
      </c>
      <c r="N64" s="10">
        <f>SUBTOTAL(9,N19:N63)</f>
        <v>2675.1399999999994</v>
      </c>
      <c r="O64" s="11">
        <f t="shared" si="8"/>
        <v>39667.65999999999</v>
      </c>
      <c r="P64" s="10">
        <f>SUBTOTAL(9,P19:P63)</f>
        <v>2374.16</v>
      </c>
      <c r="Q64" s="10">
        <f>SUBTOTAL(9,Q19:Q63)</f>
        <v>2965.26</v>
      </c>
      <c r="R64" s="10">
        <f>SUBTOTAL(9,R19:R63)</f>
        <v>2576.3199999999993</v>
      </c>
    </row>
    <row r="65" spans="1:18" ht="12.75" hidden="1" outlineLevel="2">
      <c r="A65" s="8">
        <v>6240</v>
      </c>
      <c r="B65" s="8" t="s">
        <v>75</v>
      </c>
      <c r="C65" s="10">
        <v>0.11</v>
      </c>
      <c r="D65" s="10">
        <v>1.12</v>
      </c>
      <c r="E65" s="10">
        <v>1.12</v>
      </c>
      <c r="F65" s="10">
        <v>1.12</v>
      </c>
      <c r="G65" s="10">
        <v>1.12</v>
      </c>
      <c r="H65" s="10">
        <v>1.12</v>
      </c>
      <c r="I65" s="10">
        <v>1.12</v>
      </c>
      <c r="J65" s="10">
        <v>1.12</v>
      </c>
      <c r="K65" s="10">
        <v>1.12</v>
      </c>
      <c r="L65" s="10">
        <v>1.12</v>
      </c>
      <c r="M65" s="10">
        <v>1.12</v>
      </c>
      <c r="N65" s="10">
        <v>7.53</v>
      </c>
      <c r="O65" s="11">
        <f t="shared" si="8"/>
        <v>18.840000000000003</v>
      </c>
      <c r="P65" s="10">
        <v>15.66</v>
      </c>
      <c r="Q65">
        <v>1.12</v>
      </c>
      <c r="R65">
        <v>1.12</v>
      </c>
    </row>
    <row r="66" spans="1:18" ht="12.75" hidden="1" outlineLevel="2">
      <c r="A66" s="8">
        <v>6240</v>
      </c>
      <c r="B66" s="8" t="s">
        <v>76</v>
      </c>
      <c r="C66" s="10">
        <v>50.51</v>
      </c>
      <c r="D66" s="10">
        <v>102.59</v>
      </c>
      <c r="E66" s="10">
        <v>101.98</v>
      </c>
      <c r="F66" s="10">
        <v>101.98</v>
      </c>
      <c r="G66" s="10">
        <v>101.96</v>
      </c>
      <c r="H66" s="10">
        <v>106.7</v>
      </c>
      <c r="I66" s="10">
        <v>106.7</v>
      </c>
      <c r="J66" s="10">
        <v>-244.78</v>
      </c>
      <c r="K66" s="10">
        <v>106.7</v>
      </c>
      <c r="L66" s="10">
        <v>106.7</v>
      </c>
      <c r="M66" s="10">
        <v>106.68</v>
      </c>
      <c r="N66" s="10">
        <v>109.65</v>
      </c>
      <c r="O66" s="11">
        <f t="shared" si="8"/>
        <v>857.3700000000002</v>
      </c>
      <c r="P66" s="10">
        <v>110.61</v>
      </c>
      <c r="Q66">
        <v>110.96</v>
      </c>
      <c r="R66">
        <v>110.96</v>
      </c>
    </row>
    <row r="67" spans="1:18" ht="12.75" hidden="1" outlineLevel="2">
      <c r="A67" s="8">
        <v>6240</v>
      </c>
      <c r="B67" s="8" t="s">
        <v>77</v>
      </c>
      <c r="C67" s="10">
        <v>214.09</v>
      </c>
      <c r="D67" s="10">
        <v>255.61</v>
      </c>
      <c r="E67" s="10">
        <v>272.53</v>
      </c>
      <c r="F67" s="10">
        <v>282.21</v>
      </c>
      <c r="G67" s="10">
        <v>296.71</v>
      </c>
      <c r="H67" s="10">
        <v>272.87</v>
      </c>
      <c r="I67" s="10">
        <v>310.89</v>
      </c>
      <c r="J67" s="10">
        <v>318.14</v>
      </c>
      <c r="K67" s="10">
        <v>55.27</v>
      </c>
      <c r="L67" s="10">
        <v>346.82</v>
      </c>
      <c r="M67" s="10">
        <v>348.38</v>
      </c>
      <c r="N67" s="10">
        <v>92.09</v>
      </c>
      <c r="O67" s="11">
        <f t="shared" si="8"/>
        <v>3065.61</v>
      </c>
      <c r="P67" s="10">
        <v>377.39</v>
      </c>
      <c r="Q67">
        <v>377.39</v>
      </c>
      <c r="R67">
        <v>92.09</v>
      </c>
    </row>
    <row r="68" spans="1:18" ht="12.75" hidden="1" outlineLevel="2">
      <c r="A68" s="8">
        <v>6240</v>
      </c>
      <c r="B68" s="8" t="s">
        <v>78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1">
        <f t="shared" si="8"/>
        <v>0</v>
      </c>
      <c r="P68" s="10">
        <v>0</v>
      </c>
      <c r="Q68">
        <v>0</v>
      </c>
      <c r="R68">
        <v>0</v>
      </c>
    </row>
    <row r="69" spans="1:18" ht="12.75" hidden="1" outlineLevel="2">
      <c r="A69" s="8">
        <v>6240</v>
      </c>
      <c r="B69" s="8" t="s">
        <v>79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29.44</v>
      </c>
      <c r="O69" s="11">
        <f t="shared" si="8"/>
        <v>29.44</v>
      </c>
      <c r="P69" s="10">
        <v>73.61</v>
      </c>
      <c r="Q69">
        <v>0</v>
      </c>
      <c r="R69">
        <v>0</v>
      </c>
    </row>
    <row r="70" spans="1:18" ht="12.75" outlineLevel="1" collapsed="1">
      <c r="A70" s="3" t="s">
        <v>90</v>
      </c>
      <c r="C70" s="10">
        <f aca="true" t="shared" si="10" ref="C70:K70">SUBTOTAL(9,C65:C69)</f>
        <v>264.71</v>
      </c>
      <c r="D70" s="10">
        <f t="shared" si="10"/>
        <v>359.32000000000005</v>
      </c>
      <c r="E70" s="10">
        <f t="shared" si="10"/>
        <v>375.63</v>
      </c>
      <c r="F70" s="10">
        <f t="shared" si="10"/>
        <v>385.31</v>
      </c>
      <c r="G70" s="10">
        <f t="shared" si="10"/>
        <v>399.78999999999996</v>
      </c>
      <c r="H70" s="10">
        <f t="shared" si="10"/>
        <v>380.69</v>
      </c>
      <c r="I70" s="10">
        <f t="shared" si="10"/>
        <v>418.71</v>
      </c>
      <c r="J70" s="10">
        <f t="shared" si="10"/>
        <v>74.47999999999999</v>
      </c>
      <c r="K70" s="10">
        <f t="shared" si="10"/>
        <v>163.09</v>
      </c>
      <c r="L70" s="10">
        <f>SUBTOTAL(9,L65:L69)</f>
        <v>454.64</v>
      </c>
      <c r="M70" s="10">
        <f>SUBTOTAL(9,M65:M69)</f>
        <v>456.18</v>
      </c>
      <c r="N70" s="10">
        <f>SUBTOTAL(9,N65:N69)</f>
        <v>238.71</v>
      </c>
      <c r="O70" s="11">
        <f t="shared" si="8"/>
        <v>3971.2599999999998</v>
      </c>
      <c r="P70" s="10">
        <f>SUBTOTAL(9,P65:P69)</f>
        <v>577.27</v>
      </c>
      <c r="Q70" s="10">
        <f>SUBTOTAL(9,Q65:Q69)</f>
        <v>489.46999999999997</v>
      </c>
      <c r="R70" s="10">
        <f>SUBTOTAL(9,R65:R69)</f>
        <v>204.17000000000002</v>
      </c>
    </row>
    <row r="71" spans="1:18" ht="12.75">
      <c r="A71" s="3" t="s">
        <v>91</v>
      </c>
      <c r="C71" s="10">
        <f aca="true" t="shared" si="11" ref="C71:J71">SUBTOTAL(9,C2:C69)</f>
        <v>153733.21000000002</v>
      </c>
      <c r="D71" s="10">
        <f t="shared" si="11"/>
        <v>328392.43</v>
      </c>
      <c r="E71" s="10">
        <f t="shared" si="11"/>
        <v>313503.2800000001</v>
      </c>
      <c r="F71" s="10">
        <f t="shared" si="11"/>
        <v>306151.7399999999</v>
      </c>
      <c r="G71" s="10">
        <f t="shared" si="11"/>
        <v>313711.36</v>
      </c>
      <c r="H71" s="10">
        <f t="shared" si="11"/>
        <v>324174.95000000007</v>
      </c>
      <c r="I71" s="10">
        <f t="shared" si="11"/>
        <v>328054.38</v>
      </c>
      <c r="J71" s="10">
        <f t="shared" si="11"/>
        <v>339190.37</v>
      </c>
      <c r="K71" s="10">
        <f>SUBTOTAL(9,K2:K69)</f>
        <v>333447.64</v>
      </c>
      <c r="L71" s="10">
        <f>SUBTOTAL(9,L2:L69)</f>
        <v>320560.6699999999</v>
      </c>
      <c r="M71" s="10">
        <f>SUBTOTAL(9,M2:M69)</f>
        <v>310061.00999999995</v>
      </c>
      <c r="N71" s="10">
        <f>SUBTOTAL(9,N2:N69)</f>
        <v>318427.6700000001</v>
      </c>
      <c r="O71" s="11">
        <f t="shared" si="8"/>
        <v>3689408.71</v>
      </c>
      <c r="P71" s="10">
        <f>SUBTOTAL(9,P2:P69)</f>
        <v>330005.04999999976</v>
      </c>
      <c r="Q71" s="10">
        <f>SUBTOTAL(9,Q2:Q69)</f>
        <v>358855.81239999994</v>
      </c>
      <c r="R71" s="10">
        <f>SUBTOTAL(9,R2:R69)</f>
        <v>336045.82</v>
      </c>
    </row>
    <row r="72" spans="3:16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0"/>
    </row>
    <row r="73" spans="1:18" ht="12.75">
      <c r="A73" s="8" t="s">
        <v>80</v>
      </c>
      <c r="C73" s="10">
        <v>154254.07</v>
      </c>
      <c r="D73" s="10">
        <v>328665.3</v>
      </c>
      <c r="E73" s="10">
        <v>313383.69</v>
      </c>
      <c r="F73" s="10">
        <v>306161.02</v>
      </c>
      <c r="G73" s="10">
        <v>313589.9</v>
      </c>
      <c r="H73" s="10">
        <v>324243.28</v>
      </c>
      <c r="I73" s="10">
        <v>328042.44</v>
      </c>
      <c r="J73" s="10">
        <v>339089.42</v>
      </c>
      <c r="K73" s="10">
        <f>333443.5-144.95</f>
        <v>333298.55</v>
      </c>
      <c r="L73" s="10">
        <v>320063.48</v>
      </c>
      <c r="M73" s="10">
        <v>309808.13</v>
      </c>
      <c r="N73" s="10">
        <v>318353.43</v>
      </c>
      <c r="O73" s="11">
        <f>SUM(C73:N73)</f>
        <v>3688952.71</v>
      </c>
      <c r="P73" s="10">
        <v>330150.88</v>
      </c>
      <c r="Q73" s="11">
        <f>333346.39+Q105-Q110</f>
        <v>358693.20240000007</v>
      </c>
      <c r="R73" s="11">
        <v>336048.17</v>
      </c>
    </row>
    <row r="74" ht="12.75">
      <c r="O74" s="11"/>
    </row>
    <row r="75" spans="1:18" ht="12.75">
      <c r="A75" s="8" t="s">
        <v>81</v>
      </c>
      <c r="C75" s="11">
        <f>C73-C71</f>
        <v>520.859999999986</v>
      </c>
      <c r="D75" s="11">
        <f aca="true" t="shared" si="12" ref="D75:N75">D73-D71</f>
        <v>272.86999999999534</v>
      </c>
      <c r="E75" s="11">
        <f t="shared" si="12"/>
        <v>-119.59000000008382</v>
      </c>
      <c r="F75" s="11">
        <f t="shared" si="12"/>
        <v>9.280000000144355</v>
      </c>
      <c r="G75" s="11">
        <f t="shared" si="12"/>
        <v>-121.45999999996275</v>
      </c>
      <c r="H75" s="11">
        <f t="shared" si="12"/>
        <v>68.32999999995809</v>
      </c>
      <c r="I75" s="11">
        <f t="shared" si="12"/>
        <v>-11.940000000002328</v>
      </c>
      <c r="J75" s="11">
        <f t="shared" si="12"/>
        <v>-100.95000000001164</v>
      </c>
      <c r="K75" s="11">
        <f t="shared" si="12"/>
        <v>-149.0900000000256</v>
      </c>
      <c r="L75" s="11">
        <f t="shared" si="12"/>
        <v>-497.1899999999441</v>
      </c>
      <c r="M75" s="11">
        <f t="shared" si="12"/>
        <v>-252.87999999994645</v>
      </c>
      <c r="N75" s="11">
        <f t="shared" si="12"/>
        <v>-74.2400000001071</v>
      </c>
      <c r="O75" s="11">
        <f>SUM(C75:N75)</f>
        <v>-456</v>
      </c>
      <c r="P75" s="11">
        <f>P73-P71</f>
        <v>145.83000000024913</v>
      </c>
      <c r="Q75" s="11">
        <f>Q73-Q71</f>
        <v>-162.60999999986961</v>
      </c>
      <c r="R75" s="11">
        <f>R73-R71</f>
        <v>2.349999999976717</v>
      </c>
    </row>
    <row r="77" spans="1:18" ht="12.75">
      <c r="A77" s="8" t="s">
        <v>95</v>
      </c>
      <c r="E77" s="11">
        <f>SUM(C73:E73)</f>
        <v>796303.06</v>
      </c>
      <c r="H77" s="11">
        <f>SUM(F73:H73)</f>
        <v>943994.2000000001</v>
      </c>
      <c r="J77" s="11"/>
      <c r="K77" s="11">
        <f>SUM(I73:K73)</f>
        <v>1000430.4099999999</v>
      </c>
      <c r="L77" s="11"/>
      <c r="M77" s="11"/>
      <c r="N77" s="11"/>
      <c r="P77" s="11"/>
      <c r="R77" s="11">
        <f>SUM(P73:R73)</f>
        <v>1024892.2524000001</v>
      </c>
    </row>
    <row r="79" spans="1:18" ht="12.75">
      <c r="A79" s="8" t="s">
        <v>94</v>
      </c>
      <c r="C79" s="11">
        <f aca="true" t="shared" si="13" ref="C79:I79">C75+C6</f>
        <v>76500.06</v>
      </c>
      <c r="D79" s="11">
        <f t="shared" si="13"/>
        <v>163674.92</v>
      </c>
      <c r="E79" s="11">
        <f t="shared" si="13"/>
        <v>148438.12999999992</v>
      </c>
      <c r="F79" s="11">
        <f t="shared" si="13"/>
        <v>146950.02000000014</v>
      </c>
      <c r="G79" s="11">
        <f t="shared" si="13"/>
        <v>151261.59000000005</v>
      </c>
      <c r="H79" s="11">
        <f t="shared" si="13"/>
        <v>150563.34999999995</v>
      </c>
      <c r="I79" s="11">
        <f t="shared" si="13"/>
        <v>147331.63</v>
      </c>
      <c r="J79" s="11">
        <f aca="true" t="shared" si="14" ref="J79:O79">J75+J6</f>
        <v>152450.77</v>
      </c>
      <c r="K79" s="11">
        <f t="shared" si="14"/>
        <v>152868.50999999998</v>
      </c>
      <c r="L79" s="11">
        <f t="shared" si="14"/>
        <v>150073.06000000003</v>
      </c>
      <c r="M79" s="11">
        <f t="shared" si="14"/>
        <v>146799.40000000005</v>
      </c>
      <c r="N79" s="11">
        <f t="shared" si="14"/>
        <v>158132.5399999999</v>
      </c>
      <c r="O79" s="11">
        <f t="shared" si="14"/>
        <v>1745043.9800000002</v>
      </c>
      <c r="P79" s="11">
        <f>P75+P6</f>
        <v>169877.40000000026</v>
      </c>
      <c r="Q79" s="11">
        <f>Q75+Q6</f>
        <v>167762.70000000013</v>
      </c>
      <c r="R79" s="11">
        <f>R75+R6</f>
        <v>152185.85999999996</v>
      </c>
    </row>
    <row r="84" spans="1:21" ht="12.75">
      <c r="A84" s="8" t="s">
        <v>96</v>
      </c>
      <c r="C84" s="11">
        <f>C73</f>
        <v>154254.07</v>
      </c>
      <c r="D84" s="11">
        <f>SUM($C73:D73)</f>
        <v>482919.37</v>
      </c>
      <c r="E84" s="11">
        <f>SUM($C73:E73)</f>
        <v>796303.06</v>
      </c>
      <c r="F84" s="11">
        <f>SUM($C73:F73)</f>
        <v>1102464.08</v>
      </c>
      <c r="G84" s="11">
        <f>SUM($C73:G73)</f>
        <v>1416053.98</v>
      </c>
      <c r="H84" s="11">
        <f>SUM($C73:H73)</f>
        <v>1740297.26</v>
      </c>
      <c r="I84" s="11">
        <f>SUM($C73:I73)</f>
        <v>2068339.7</v>
      </c>
      <c r="J84" s="11">
        <f>SUM($C73:J73)</f>
        <v>2407429.12</v>
      </c>
      <c r="K84" s="11">
        <f>SUM($C73:K73)</f>
        <v>2740727.67</v>
      </c>
      <c r="L84" s="11">
        <f>SUM($C73:L73)</f>
        <v>3060791.15</v>
      </c>
      <c r="M84" s="11">
        <f>SUM($C73:M73)</f>
        <v>3370599.28</v>
      </c>
      <c r="N84" s="11">
        <f>SUM($C73:N73)</f>
        <v>3688952.71</v>
      </c>
      <c r="O84" s="11">
        <f>N84</f>
        <v>3688952.71</v>
      </c>
      <c r="P84" s="11">
        <f>SUM($O73:P73)</f>
        <v>4019103.59</v>
      </c>
      <c r="Q84" s="11">
        <f>SUM($O73:Q73)</f>
        <v>4377796.7924</v>
      </c>
      <c r="R84" s="11">
        <f>SUM($O73:R73)</f>
        <v>4713844.9624</v>
      </c>
      <c r="S84" s="11">
        <f>SUM($O73:S73)</f>
        <v>4713844.9624</v>
      </c>
      <c r="T84" s="11">
        <f>SUM($O73:T73)</f>
        <v>4713844.9624</v>
      </c>
      <c r="U84" s="11">
        <f>SUM($O73:U73)</f>
        <v>4713844.9624</v>
      </c>
    </row>
    <row r="87" spans="16:18" ht="12.75">
      <c r="P87" s="8" t="s">
        <v>111</v>
      </c>
      <c r="Q87" s="8" t="s">
        <v>119</v>
      </c>
      <c r="R87" s="8" t="s">
        <v>123</v>
      </c>
    </row>
    <row r="88" spans="15:18" ht="12.75">
      <c r="O88" s="8" t="s">
        <v>129</v>
      </c>
      <c r="P88" s="11">
        <f>P6+O6+O75+P75</f>
        <v>1914921.3800000006</v>
      </c>
      <c r="Q88" s="11">
        <f>$O79+SUM($P79:Q79)</f>
        <v>2082684.0800000005</v>
      </c>
      <c r="R88" s="11">
        <f>$O79+SUM($P79:R79)</f>
        <v>2234869.9400000004</v>
      </c>
    </row>
    <row r="89" spans="15:18" ht="12.75">
      <c r="O89" s="8" t="s">
        <v>112</v>
      </c>
      <c r="P89" s="11">
        <f>P9+O9</f>
        <v>1450991.56</v>
      </c>
      <c r="Q89" s="11">
        <f>$O9+SUM($P9:Q9)</f>
        <v>1568456.4</v>
      </c>
      <c r="R89" s="11">
        <f>$O9+SUM($P9:R9)</f>
        <v>1679527.56</v>
      </c>
    </row>
    <row r="90" spans="15:18" ht="12.75">
      <c r="O90" s="8" t="s">
        <v>113</v>
      </c>
      <c r="P90" s="11">
        <f>O11+P11</f>
        <v>21525.52</v>
      </c>
      <c r="Q90" s="11">
        <f>$O11+SUM($P11:Q11)</f>
        <v>23606.2</v>
      </c>
      <c r="R90" s="11">
        <f>$O11+SUM($P11:R11)</f>
        <v>25461.6</v>
      </c>
    </row>
    <row r="91" spans="15:18" ht="12.75">
      <c r="O91" s="8" t="s">
        <v>114</v>
      </c>
      <c r="P91" s="11">
        <f>P13+O13</f>
        <v>359216.68000000005</v>
      </c>
      <c r="Q91" s="11">
        <f>$O13+SUM($P13:Q13)</f>
        <v>386438.9</v>
      </c>
      <c r="R91" s="11">
        <f>$O13+SUM($P13:R13)</f>
        <v>413725.19000000006</v>
      </c>
    </row>
    <row r="92" spans="15:18" ht="12.75">
      <c r="O92" s="8" t="s">
        <v>115</v>
      </c>
      <c r="P92" s="11">
        <f>O15+P15</f>
        <v>225858.1</v>
      </c>
      <c r="Q92" s="11">
        <f>$O15+SUM($P15:Q15)</f>
        <v>241219.32</v>
      </c>
      <c r="R92" s="11">
        <f>$O15+SUM($P15:R15)</f>
        <v>255861.66</v>
      </c>
    </row>
    <row r="93" spans="15:18" ht="12.75">
      <c r="O93" s="8" t="s">
        <v>116</v>
      </c>
      <c r="P93" s="11">
        <f>P18+O18</f>
        <v>0</v>
      </c>
      <c r="Q93" s="11">
        <f>$O18+SUM($P18:Q18)</f>
        <v>25346.812400000053</v>
      </c>
      <c r="R93" s="11">
        <f>$O18+SUM($P18:R18)</f>
        <v>51573.44240000006</v>
      </c>
    </row>
    <row r="94" spans="15:18" ht="12.75">
      <c r="O94" s="8" t="s">
        <v>117</v>
      </c>
      <c r="P94" s="11">
        <f>O64+P64</f>
        <v>42041.81999999999</v>
      </c>
      <c r="Q94" s="11">
        <f>$O64+SUM($P64:Q64)</f>
        <v>45007.07999999999</v>
      </c>
      <c r="R94" s="11">
        <f>$O64+SUM($P64:R64)</f>
        <v>47583.39999999999</v>
      </c>
    </row>
    <row r="95" spans="15:18" ht="12.75">
      <c r="O95" s="8" t="s">
        <v>118</v>
      </c>
      <c r="P95" s="11">
        <f>O70+P70</f>
        <v>4548.53</v>
      </c>
      <c r="Q95" s="11">
        <f>$O70+SUM($P70:Q70)</f>
        <v>5038</v>
      </c>
      <c r="R95" s="11">
        <f>$O70+SUM($P70:R70)</f>
        <v>5242.17</v>
      </c>
    </row>
    <row r="96" spans="16:18" ht="12.75">
      <c r="P96" s="11">
        <f>SUM(P88:P95)</f>
        <v>4019103.5900000003</v>
      </c>
      <c r="Q96" s="11">
        <f>SUM(Q88:Q95)</f>
        <v>4377796.792400001</v>
      </c>
      <c r="R96" s="11">
        <f>SUM(R88:R95)</f>
        <v>4713844.9624000015</v>
      </c>
    </row>
    <row r="102" spans="15:16" ht="12.75">
      <c r="O102" s="8" t="s">
        <v>121</v>
      </c>
      <c r="P102"/>
    </row>
    <row r="103" spans="15:17" ht="12.75">
      <c r="O103" s="8">
        <v>16253</v>
      </c>
      <c r="P103" s="8">
        <v>11.28</v>
      </c>
      <c r="Q103" s="10">
        <f>P103*O103</f>
        <v>183333.84</v>
      </c>
    </row>
    <row r="104" spans="15:17" ht="12.75">
      <c r="O104" s="8">
        <v>8277544</v>
      </c>
      <c r="P104" s="8">
        <v>0.049</v>
      </c>
      <c r="Q104" s="10">
        <f>P104*O104</f>
        <v>405599.656</v>
      </c>
    </row>
    <row r="105" ht="12.75">
      <c r="Q105" s="10">
        <f>SUM(Q103:Q104)</f>
        <v>588933.496</v>
      </c>
    </row>
    <row r="106" ht="12.75">
      <c r="Q106" s="10"/>
    </row>
    <row r="107" spans="15:17" ht="12.75">
      <c r="O107" s="8" t="s">
        <v>122</v>
      </c>
      <c r="Q107" s="10"/>
    </row>
    <row r="108" spans="15:17" ht="12.75">
      <c r="O108" s="8">
        <v>16253</v>
      </c>
      <c r="P108" s="8">
        <v>10.79</v>
      </c>
      <c r="Q108" s="10">
        <f>P108*O108</f>
        <v>175369.87</v>
      </c>
    </row>
    <row r="109" spans="15:17" ht="12.75">
      <c r="O109" s="8">
        <v>8277544</v>
      </c>
      <c r="P109" s="8">
        <v>0.0469</v>
      </c>
      <c r="Q109" s="10">
        <f>P109*O109</f>
        <v>388216.8136</v>
      </c>
    </row>
    <row r="110" ht="12.75">
      <c r="Q110" s="10">
        <f>SUM(Q108:Q109)</f>
        <v>563586.6836</v>
      </c>
    </row>
    <row r="111" ht="12.75">
      <c r="P111"/>
    </row>
    <row r="112" ht="12.75">
      <c r="P112" s="8" t="s">
        <v>120</v>
      </c>
    </row>
  </sheetData>
  <sheetProtection/>
  <printOptions/>
  <pageMargins left="0.2" right="0.2" top="1" bottom="1" header="0.5" footer="0.5"/>
  <pageSetup fitToHeight="1" fitToWidth="1" horizontalDpi="600" verticalDpi="600" orientation="landscape" scale="79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5"/>
  <sheetViews>
    <sheetView zoomScale="75" zoomScaleNormal="75" zoomScalePageLayoutView="0" workbookViewId="0" topLeftCell="A1">
      <pane xSplit="1" ySplit="6" topLeftCell="AK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P33" sqref="AP33"/>
    </sheetView>
  </sheetViews>
  <sheetFormatPr defaultColWidth="9.140625" defaultRowHeight="12.75"/>
  <cols>
    <col min="1" max="1" width="63.7109375" style="0" customWidth="1"/>
    <col min="2" max="2" width="0.2890625" style="0" hidden="1" customWidth="1"/>
    <col min="3" max="16" width="12.421875" style="0" hidden="1" customWidth="1"/>
    <col min="17" max="17" width="14.00390625" style="0" hidden="1" customWidth="1"/>
    <col min="18" max="27" width="12.421875" style="0" hidden="1" customWidth="1"/>
    <col min="28" max="28" width="5.421875" style="0" customWidth="1"/>
    <col min="29" max="29" width="0.13671875" style="0" customWidth="1"/>
    <col min="30" max="30" width="18.140625" style="0" customWidth="1"/>
    <col min="31" max="31" width="18.28125" style="0" customWidth="1"/>
    <col min="32" max="32" width="19.140625" style="0" customWidth="1"/>
    <col min="33" max="33" width="18.00390625" style="0" customWidth="1"/>
    <col min="34" max="34" width="17.7109375" style="0" customWidth="1"/>
    <col min="35" max="36" width="17.8515625" style="0" customWidth="1"/>
    <col min="37" max="37" width="18.8515625" style="0" customWidth="1"/>
    <col min="38" max="38" width="17.140625" style="0" customWidth="1"/>
    <col min="39" max="39" width="18.8515625" style="0" customWidth="1"/>
    <col min="40" max="40" width="18.421875" style="0" customWidth="1"/>
    <col min="41" max="41" width="18.140625" style="0" customWidth="1"/>
    <col min="42" max="42" width="18.7109375" style="0" customWidth="1"/>
    <col min="43" max="43" width="11.28125" style="0" bestFit="1" customWidth="1"/>
  </cols>
  <sheetData>
    <row r="1" spans="31:39" ht="23.25">
      <c r="AE1" s="75"/>
      <c r="AF1" s="76"/>
      <c r="AG1" s="76"/>
      <c r="AH1" s="77" t="s">
        <v>149</v>
      </c>
      <c r="AI1" s="77"/>
      <c r="AJ1" s="77"/>
      <c r="AK1" s="2"/>
      <c r="AL1" s="2"/>
      <c r="AM1" s="81" t="s">
        <v>172</v>
      </c>
    </row>
    <row r="2" spans="31:39" ht="23.25">
      <c r="AE2" s="75"/>
      <c r="AF2" s="76"/>
      <c r="AG2" s="76"/>
      <c r="AH2" s="77" t="s">
        <v>150</v>
      </c>
      <c r="AI2" s="77"/>
      <c r="AJ2" s="77"/>
      <c r="AK2" s="2"/>
      <c r="AL2" s="2"/>
      <c r="AM2" s="3"/>
    </row>
    <row r="3" spans="31:39" ht="23.25">
      <c r="AE3" s="75"/>
      <c r="AF3" s="76"/>
      <c r="AG3" s="76"/>
      <c r="AH3" s="77" t="s">
        <v>163</v>
      </c>
      <c r="AI3" s="77"/>
      <c r="AJ3" s="77"/>
      <c r="AK3" s="2"/>
      <c r="AL3" s="2"/>
      <c r="AM3" s="3"/>
    </row>
    <row r="4" spans="1:39" ht="23.25">
      <c r="A4" s="80"/>
      <c r="AE4" s="75"/>
      <c r="AF4" s="76"/>
      <c r="AG4" s="76"/>
      <c r="AH4" s="76"/>
      <c r="AI4" s="76"/>
      <c r="AJ4" s="76"/>
      <c r="AK4" s="3"/>
      <c r="AL4" s="3"/>
      <c r="AM4" s="3"/>
    </row>
    <row r="5" spans="1:39" ht="23.25">
      <c r="A5" s="82" t="s">
        <v>154</v>
      </c>
      <c r="AE5" s="75"/>
      <c r="AF5" s="76"/>
      <c r="AG5" s="76"/>
      <c r="AH5" s="76"/>
      <c r="AI5" s="76"/>
      <c r="AJ5" s="76"/>
      <c r="AK5" s="3"/>
      <c r="AL5" s="3"/>
      <c r="AM5" s="3"/>
    </row>
    <row r="6" spans="2:42" ht="18">
      <c r="B6" s="13">
        <v>36922</v>
      </c>
      <c r="C6" s="13">
        <v>36950</v>
      </c>
      <c r="D6" s="13">
        <v>36981</v>
      </c>
      <c r="E6" s="13">
        <v>37011</v>
      </c>
      <c r="F6" s="13">
        <v>37042</v>
      </c>
      <c r="G6" s="13">
        <v>37072</v>
      </c>
      <c r="H6" s="13">
        <v>37103</v>
      </c>
      <c r="I6" s="13">
        <v>37134</v>
      </c>
      <c r="J6" s="13">
        <v>37164</v>
      </c>
      <c r="K6" s="13">
        <v>37195</v>
      </c>
      <c r="L6" s="13">
        <v>37225</v>
      </c>
      <c r="M6" s="13">
        <v>37256</v>
      </c>
      <c r="N6" s="15" t="s">
        <v>92</v>
      </c>
      <c r="O6" s="13">
        <v>37287</v>
      </c>
      <c r="P6" s="13">
        <v>37315</v>
      </c>
      <c r="Q6" s="13">
        <v>37346</v>
      </c>
      <c r="R6" s="13">
        <v>37376</v>
      </c>
      <c r="S6" s="13">
        <v>37407</v>
      </c>
      <c r="T6" s="13">
        <v>37437</v>
      </c>
      <c r="U6" s="13">
        <v>37468</v>
      </c>
      <c r="V6" s="13">
        <v>37499</v>
      </c>
      <c r="W6" s="13">
        <v>37529</v>
      </c>
      <c r="X6" s="13">
        <v>37560</v>
      </c>
      <c r="Y6" s="13">
        <v>37590</v>
      </c>
      <c r="Z6" s="13">
        <v>37621</v>
      </c>
      <c r="AA6" s="13" t="s">
        <v>92</v>
      </c>
      <c r="AB6" s="72" t="s">
        <v>152</v>
      </c>
      <c r="AC6" s="72" t="s">
        <v>155</v>
      </c>
      <c r="AD6" s="78">
        <v>37652</v>
      </c>
      <c r="AE6" s="78">
        <v>37680</v>
      </c>
      <c r="AF6" s="78">
        <v>37711</v>
      </c>
      <c r="AG6" s="78">
        <v>37741</v>
      </c>
      <c r="AH6" s="78">
        <v>37772</v>
      </c>
      <c r="AI6" s="78">
        <v>37802</v>
      </c>
      <c r="AJ6" s="78">
        <v>37833</v>
      </c>
      <c r="AK6" s="78">
        <v>37864</v>
      </c>
      <c r="AL6" s="78">
        <v>37894</v>
      </c>
      <c r="AM6" s="78">
        <v>37925</v>
      </c>
      <c r="AN6" s="78">
        <v>37955</v>
      </c>
      <c r="AO6" s="78">
        <v>37986</v>
      </c>
      <c r="AP6" s="79" t="s">
        <v>151</v>
      </c>
    </row>
    <row r="7" spans="1:46" ht="18">
      <c r="A7" s="33" t="e">
        <f>+#REF!</f>
        <v>#REF!</v>
      </c>
      <c r="B7" s="34">
        <v>2989723</v>
      </c>
      <c r="C7" s="34">
        <v>2647017</v>
      </c>
      <c r="D7" s="34">
        <v>5375461</v>
      </c>
      <c r="E7" s="34">
        <v>2904854</v>
      </c>
      <c r="F7" s="34">
        <v>2397081</v>
      </c>
      <c r="G7" s="34">
        <v>2246621</v>
      </c>
      <c r="H7" s="34">
        <v>2378138</v>
      </c>
      <c r="I7" s="34">
        <v>2848175</v>
      </c>
      <c r="J7" s="34">
        <v>2520181</v>
      </c>
      <c r="K7" s="34">
        <v>3757998</v>
      </c>
      <c r="L7" s="34">
        <f>3974595+117142.15</f>
        <v>4091737.15</v>
      </c>
      <c r="M7" s="34">
        <f>4457153+79642-9483</f>
        <v>4527312</v>
      </c>
      <c r="N7" s="34">
        <f>SUM(B7:M7)</f>
        <v>38684298.15</v>
      </c>
      <c r="O7" s="34">
        <v>4457109</v>
      </c>
      <c r="P7" s="35">
        <f>3770353+101513</f>
        <v>3871866</v>
      </c>
      <c r="Q7" s="35">
        <f>3640440+122530</f>
        <v>3762970</v>
      </c>
      <c r="R7" s="35">
        <v>3158587</v>
      </c>
      <c r="S7" s="35">
        <v>3886029</v>
      </c>
      <c r="T7" s="34">
        <v>3731697</v>
      </c>
      <c r="U7" s="34">
        <v>3567453</v>
      </c>
      <c r="V7" s="34">
        <v>3276226</v>
      </c>
      <c r="W7" s="34">
        <v>3132766</v>
      </c>
      <c r="X7" s="34">
        <v>3387350</v>
      </c>
      <c r="Y7" s="34">
        <v>3746075</v>
      </c>
      <c r="Z7" s="34">
        <v>4040770</v>
      </c>
      <c r="AA7" s="34">
        <f>SUM(O7:Z7)</f>
        <v>44018898</v>
      </c>
      <c r="AB7" s="36">
        <v>1</v>
      </c>
      <c r="AC7" s="36"/>
      <c r="AD7" s="34">
        <v>3393560</v>
      </c>
      <c r="AE7" s="34">
        <v>3489181</v>
      </c>
      <c r="AF7" s="34">
        <v>3524565</v>
      </c>
      <c r="AG7" s="34">
        <v>2988219</v>
      </c>
      <c r="AH7" s="34">
        <v>3368717</v>
      </c>
      <c r="AI7" s="34">
        <v>3051223</v>
      </c>
      <c r="AJ7" s="34">
        <v>3876224</v>
      </c>
      <c r="AK7" s="34">
        <v>3685498</v>
      </c>
      <c r="AL7" s="34">
        <v>3998677</v>
      </c>
      <c r="AM7" s="34">
        <v>3964066</v>
      </c>
      <c r="AN7" s="34">
        <v>3526215</v>
      </c>
      <c r="AO7" s="34">
        <v>4320927</v>
      </c>
      <c r="AP7" s="37">
        <f aca="true" t="shared" si="0" ref="AP7:AP13">SUM(AD7:AO7)</f>
        <v>43187072</v>
      </c>
      <c r="AQ7" s="33"/>
      <c r="AR7" s="33"/>
      <c r="AS7" s="33"/>
      <c r="AT7" s="33"/>
    </row>
    <row r="8" spans="1:42" ht="18">
      <c r="A8" s="33" t="e">
        <f>+#REF!</f>
        <v>#REF!</v>
      </c>
      <c r="B8" s="34">
        <v>925891</v>
      </c>
      <c r="C8" s="34">
        <v>950440</v>
      </c>
      <c r="D8" s="34">
        <v>825718</v>
      </c>
      <c r="E8" s="34">
        <v>836955</v>
      </c>
      <c r="F8" s="34">
        <v>1206538</v>
      </c>
      <c r="G8" s="34">
        <v>923412</v>
      </c>
      <c r="H8" s="34">
        <v>817275</v>
      </c>
      <c r="I8" s="34">
        <v>829958</v>
      </c>
      <c r="J8" s="34">
        <v>968590</v>
      </c>
      <c r="K8" s="34">
        <v>990465</v>
      </c>
      <c r="L8" s="34">
        <v>918469</v>
      </c>
      <c r="M8" s="34">
        <v>950355</v>
      </c>
      <c r="N8" s="34">
        <f aca="true" t="shared" si="1" ref="N8:N13">SUM(B8:M8)</f>
        <v>11144066</v>
      </c>
      <c r="O8" s="34">
        <v>977799</v>
      </c>
      <c r="P8" s="35">
        <v>941817</v>
      </c>
      <c r="Q8" s="35">
        <v>1023935</v>
      </c>
      <c r="R8" s="35">
        <v>1449568</v>
      </c>
      <c r="S8" s="35">
        <v>1576497</v>
      </c>
      <c r="T8" s="34">
        <v>946090</v>
      </c>
      <c r="U8" s="34">
        <v>1467054</v>
      </c>
      <c r="V8" s="34">
        <v>1122835</v>
      </c>
      <c r="W8" s="34">
        <v>992297</v>
      </c>
      <c r="X8" s="34">
        <v>959933</v>
      </c>
      <c r="Y8" s="34">
        <v>-129600</v>
      </c>
      <c r="Z8" s="34">
        <v>480582</v>
      </c>
      <c r="AA8" s="34">
        <f aca="true" t="shared" si="2" ref="AA8:AA21">SUM(O8:Z8)</f>
        <v>11808807</v>
      </c>
      <c r="AB8" s="36">
        <v>2</v>
      </c>
      <c r="AC8" s="36"/>
      <c r="AD8" s="34">
        <f>904120-15000</f>
        <v>889120</v>
      </c>
      <c r="AE8" s="34">
        <v>934256</v>
      </c>
      <c r="AF8" s="34">
        <v>40233</v>
      </c>
      <c r="AG8" s="34">
        <v>900707</v>
      </c>
      <c r="AH8" s="34">
        <v>824744</v>
      </c>
      <c r="AI8" s="34">
        <v>801415</v>
      </c>
      <c r="AJ8" s="34">
        <v>1024460</v>
      </c>
      <c r="AK8" s="34">
        <v>904768</v>
      </c>
      <c r="AL8" s="34">
        <v>1144898</v>
      </c>
      <c r="AM8" s="34">
        <v>1002117</v>
      </c>
      <c r="AN8" s="34">
        <v>1027589</v>
      </c>
      <c r="AO8" s="34">
        <v>1070764</v>
      </c>
      <c r="AP8" s="37">
        <f t="shared" si="0"/>
        <v>10565071</v>
      </c>
    </row>
    <row r="9" spans="1:42" ht="18">
      <c r="A9" s="33" t="e">
        <f>+#REF!</f>
        <v>#REF!</v>
      </c>
      <c r="B9" s="34">
        <v>731301</v>
      </c>
      <c r="C9" s="34">
        <v>731425</v>
      </c>
      <c r="D9" s="34">
        <v>816857</v>
      </c>
      <c r="E9" s="34">
        <v>801035</v>
      </c>
      <c r="F9" s="34">
        <v>742056</v>
      </c>
      <c r="G9" s="34">
        <v>792831</v>
      </c>
      <c r="H9" s="34">
        <v>771365</v>
      </c>
      <c r="I9" s="34">
        <v>796223</v>
      </c>
      <c r="J9" s="34">
        <v>1018749</v>
      </c>
      <c r="K9" s="34">
        <v>529208</v>
      </c>
      <c r="L9" s="34">
        <v>491757</v>
      </c>
      <c r="M9" s="34">
        <v>1121252</v>
      </c>
      <c r="N9" s="34">
        <f t="shared" si="1"/>
        <v>9344059</v>
      </c>
      <c r="O9" s="34">
        <v>845251</v>
      </c>
      <c r="P9" s="35">
        <v>772237</v>
      </c>
      <c r="Q9" s="35">
        <v>780321</v>
      </c>
      <c r="R9" s="35">
        <v>799254</v>
      </c>
      <c r="S9" s="35">
        <v>762850</v>
      </c>
      <c r="T9" s="34">
        <v>745896</v>
      </c>
      <c r="U9" s="34">
        <v>762484</v>
      </c>
      <c r="V9" s="34">
        <v>739860</v>
      </c>
      <c r="W9" s="34">
        <v>800790</v>
      </c>
      <c r="X9" s="34">
        <v>750460</v>
      </c>
      <c r="Y9" s="34">
        <v>665641</v>
      </c>
      <c r="Z9" s="34">
        <v>668486</v>
      </c>
      <c r="AA9" s="34">
        <f t="shared" si="2"/>
        <v>9093530</v>
      </c>
      <c r="AB9" s="36">
        <v>3</v>
      </c>
      <c r="AC9" s="36"/>
      <c r="AD9" s="34">
        <v>1172438</v>
      </c>
      <c r="AE9" s="34">
        <v>1329066</v>
      </c>
      <c r="AF9" s="34">
        <v>1335033</v>
      </c>
      <c r="AG9" s="34">
        <v>924601</v>
      </c>
      <c r="AH9" s="34">
        <v>616422</v>
      </c>
      <c r="AI9" s="34">
        <v>614645</v>
      </c>
      <c r="AJ9" s="34">
        <v>772821</v>
      </c>
      <c r="AK9" s="34">
        <v>795553</v>
      </c>
      <c r="AL9" s="34">
        <v>754071</v>
      </c>
      <c r="AM9" s="34">
        <v>768540</v>
      </c>
      <c r="AN9" s="34">
        <v>737374</v>
      </c>
      <c r="AO9" s="34">
        <v>772905</v>
      </c>
      <c r="AP9" s="37">
        <f t="shared" si="0"/>
        <v>10593469</v>
      </c>
    </row>
    <row r="10" spans="1:42" ht="18">
      <c r="A10" s="33" t="e">
        <f>+#REF!</f>
        <v>#REF!</v>
      </c>
      <c r="B10" s="34">
        <v>517809</v>
      </c>
      <c r="C10" s="34">
        <v>953365</v>
      </c>
      <c r="D10" s="34">
        <v>1375373</v>
      </c>
      <c r="E10" s="34">
        <v>1296309</v>
      </c>
      <c r="F10" s="34">
        <v>16010</v>
      </c>
      <c r="G10" s="34">
        <v>2060</v>
      </c>
      <c r="H10" s="34">
        <v>6025</v>
      </c>
      <c r="I10" s="34">
        <v>206197</v>
      </c>
      <c r="J10" s="34">
        <v>5523</v>
      </c>
      <c r="K10" s="34">
        <v>764</v>
      </c>
      <c r="L10" s="34">
        <v>23975</v>
      </c>
      <c r="M10" s="34">
        <v>341837</v>
      </c>
      <c r="N10" s="34">
        <f t="shared" si="1"/>
        <v>4745247</v>
      </c>
      <c r="O10" s="34">
        <f>715558+4415</f>
        <v>719973</v>
      </c>
      <c r="P10" s="35">
        <f>52485+1808</f>
        <v>54293</v>
      </c>
      <c r="Q10" s="35">
        <f>125582+2000</f>
        <v>127582</v>
      </c>
      <c r="R10" s="35">
        <f>43407+18520</f>
        <v>61927</v>
      </c>
      <c r="S10" s="35">
        <v>21678</v>
      </c>
      <c r="T10" s="34">
        <v>2988</v>
      </c>
      <c r="U10" s="34">
        <f>2904+818</f>
        <v>3722</v>
      </c>
      <c r="V10" s="34">
        <f>2039+1827</f>
        <v>3866</v>
      </c>
      <c r="W10" s="34">
        <f>4850+8997</f>
        <v>13847</v>
      </c>
      <c r="X10" s="34">
        <f>32195+4586</f>
        <v>36781</v>
      </c>
      <c r="Y10" s="34">
        <f>42315+662</f>
        <v>42977</v>
      </c>
      <c r="Z10" s="34">
        <f>986294+24852</f>
        <v>1011146</v>
      </c>
      <c r="AA10" s="34">
        <f t="shared" si="2"/>
        <v>2100780</v>
      </c>
      <c r="AB10" s="36">
        <v>4</v>
      </c>
      <c r="AC10" s="36"/>
      <c r="AD10" s="34">
        <f>1430323+8868</f>
        <v>1439191</v>
      </c>
      <c r="AE10" s="34">
        <f>1172157+69071</f>
        <v>1241228</v>
      </c>
      <c r="AF10" s="34">
        <v>935425</v>
      </c>
      <c r="AG10" s="34">
        <f>44234</f>
        <v>44234</v>
      </c>
      <c r="AH10" s="34">
        <v>-592</v>
      </c>
      <c r="AI10" s="34">
        <v>28991</v>
      </c>
      <c r="AJ10" s="34">
        <v>3796</v>
      </c>
      <c r="AK10" s="34">
        <v>23894</v>
      </c>
      <c r="AL10" s="34">
        <v>3916</v>
      </c>
      <c r="AM10" s="34">
        <v>49956</v>
      </c>
      <c r="AN10" s="34">
        <v>48879</v>
      </c>
      <c r="AO10" s="34">
        <v>192440</v>
      </c>
      <c r="AP10" s="37">
        <f t="shared" si="0"/>
        <v>4011358</v>
      </c>
    </row>
    <row r="11" spans="1:42" ht="18">
      <c r="A11" s="33" t="e">
        <f>+#REF!</f>
        <v>#REF!</v>
      </c>
      <c r="B11" s="34">
        <f>738112-B10</f>
        <v>220303</v>
      </c>
      <c r="C11" s="34">
        <f>1187605-C10</f>
        <v>234240</v>
      </c>
      <c r="D11" s="34">
        <f>1624196-D10</f>
        <v>248823</v>
      </c>
      <c r="E11" s="34">
        <f>1517284-E10</f>
        <v>220975</v>
      </c>
      <c r="F11" s="34">
        <f>249867-F10</f>
        <v>233857</v>
      </c>
      <c r="G11" s="34">
        <f>134919-G10</f>
        <v>132859</v>
      </c>
      <c r="H11" s="34">
        <f>201696-H10</f>
        <v>195671</v>
      </c>
      <c r="I11" s="34">
        <f>450021-I10</f>
        <v>243824</v>
      </c>
      <c r="J11" s="34">
        <f>238998-J10+62858.52+31429.26</f>
        <v>327762.78</v>
      </c>
      <c r="K11" s="34">
        <f>238262-K10</f>
        <v>237498</v>
      </c>
      <c r="L11" s="34">
        <f>400302-L10</f>
        <v>376327</v>
      </c>
      <c r="M11" s="34">
        <f>461258-M10+28591</f>
        <v>148012</v>
      </c>
      <c r="N11" s="34">
        <f t="shared" si="1"/>
        <v>2820151.7800000003</v>
      </c>
      <c r="O11" s="34">
        <f>947206-O10</f>
        <v>227233</v>
      </c>
      <c r="P11" s="35">
        <f>281141-P10</f>
        <v>226848</v>
      </c>
      <c r="Q11" s="35">
        <f>308887-Q10</f>
        <v>181305</v>
      </c>
      <c r="R11" s="35">
        <f>254610-R10</f>
        <v>192683</v>
      </c>
      <c r="S11" s="35">
        <f>187705-S10</f>
        <v>166027</v>
      </c>
      <c r="T11" s="34">
        <f>156390-T10</f>
        <v>153402</v>
      </c>
      <c r="U11" s="34">
        <f>188417-U10</f>
        <v>184695</v>
      </c>
      <c r="V11" s="34">
        <f>161703-V10</f>
        <v>157837</v>
      </c>
      <c r="W11" s="34">
        <f>259116-W10</f>
        <v>245269</v>
      </c>
      <c r="X11" s="34">
        <f>287514-X10</f>
        <v>250733</v>
      </c>
      <c r="Y11" s="34">
        <f>363052-Y10</f>
        <v>320075</v>
      </c>
      <c r="Z11" s="34">
        <f>1029792-Z10</f>
        <v>18646</v>
      </c>
      <c r="AA11" s="34">
        <f t="shared" si="2"/>
        <v>2324753</v>
      </c>
      <c r="AB11" s="36">
        <v>5</v>
      </c>
      <c r="AC11" s="36"/>
      <c r="AD11" s="34">
        <f>1685658-AD10</f>
        <v>246467</v>
      </c>
      <c r="AE11" s="34">
        <f>1451182-AE10</f>
        <v>209954</v>
      </c>
      <c r="AF11" s="34">
        <f>935425+226878-AF10</f>
        <v>226878</v>
      </c>
      <c r="AG11" s="34">
        <v>192402</v>
      </c>
      <c r="AH11" s="34">
        <v>177207</v>
      </c>
      <c r="AI11" s="34">
        <v>217437</v>
      </c>
      <c r="AJ11" s="34">
        <v>235546</v>
      </c>
      <c r="AK11" s="34">
        <v>214170</v>
      </c>
      <c r="AL11" s="34">
        <v>214715</v>
      </c>
      <c r="AM11" s="34">
        <v>96354</v>
      </c>
      <c r="AN11" s="34">
        <v>144714</v>
      </c>
      <c r="AO11" s="34">
        <v>246832</v>
      </c>
      <c r="AP11" s="37">
        <f t="shared" si="0"/>
        <v>2422676</v>
      </c>
    </row>
    <row r="12" spans="1:42" ht="18">
      <c r="A12" s="33" t="e">
        <f>+#REF!</f>
        <v>#REF!</v>
      </c>
      <c r="B12" s="34">
        <v>62260</v>
      </c>
      <c r="C12" s="34">
        <v>62260</v>
      </c>
      <c r="D12" s="34">
        <v>62260</v>
      </c>
      <c r="E12" s="34">
        <v>62260</v>
      </c>
      <c r="F12" s="34">
        <v>62260</v>
      </c>
      <c r="G12" s="34">
        <v>62260</v>
      </c>
      <c r="H12" s="34">
        <v>62260</v>
      </c>
      <c r="I12" s="34">
        <v>62260</v>
      </c>
      <c r="J12" s="34">
        <v>62260</v>
      </c>
      <c r="K12" s="34">
        <v>62260</v>
      </c>
      <c r="L12" s="34">
        <v>62260</v>
      </c>
      <c r="M12" s="34">
        <v>62260</v>
      </c>
      <c r="N12" s="34">
        <f t="shared" si="1"/>
        <v>747120</v>
      </c>
      <c r="O12" s="34">
        <v>62255</v>
      </c>
      <c r="P12" s="35">
        <v>62255</v>
      </c>
      <c r="Q12" s="35">
        <v>62255</v>
      </c>
      <c r="R12" s="35">
        <v>62255</v>
      </c>
      <c r="S12" s="35">
        <v>62255</v>
      </c>
      <c r="T12" s="34">
        <v>62255</v>
      </c>
      <c r="U12" s="34">
        <v>62255</v>
      </c>
      <c r="V12" s="34">
        <v>62255</v>
      </c>
      <c r="W12" s="34">
        <v>62255</v>
      </c>
      <c r="X12" s="34">
        <v>62255</v>
      </c>
      <c r="Y12" s="34">
        <v>62255</v>
      </c>
      <c r="Z12" s="34">
        <v>62255</v>
      </c>
      <c r="AA12" s="34">
        <f t="shared" si="2"/>
        <v>747060</v>
      </c>
      <c r="AB12" s="36">
        <v>6</v>
      </c>
      <c r="AC12" s="36"/>
      <c r="AD12" s="34">
        <v>62255</v>
      </c>
      <c r="AE12" s="34">
        <v>62255</v>
      </c>
      <c r="AF12" s="34">
        <v>62255</v>
      </c>
      <c r="AG12" s="34">
        <v>-2</v>
      </c>
      <c r="AH12" s="34">
        <v>46690.86</v>
      </c>
      <c r="AI12" s="38">
        <v>46690.86</v>
      </c>
      <c r="AJ12" s="38">
        <v>46691</v>
      </c>
      <c r="AK12" s="38">
        <v>46691</v>
      </c>
      <c r="AL12" s="38">
        <v>46691</v>
      </c>
      <c r="AM12" s="38">
        <v>46691</v>
      </c>
      <c r="AN12" s="38">
        <v>46691</v>
      </c>
      <c r="AO12" s="38">
        <v>46691</v>
      </c>
      <c r="AP12" s="39">
        <f t="shared" si="0"/>
        <v>560290.72</v>
      </c>
    </row>
    <row r="13" spans="1:42" ht="18">
      <c r="A13" s="33"/>
      <c r="B13" s="40">
        <f aca="true" t="shared" si="3" ref="B13:M13">SUM(B7:B12)</f>
        <v>5447287</v>
      </c>
      <c r="C13" s="40">
        <f t="shared" si="3"/>
        <v>5578747</v>
      </c>
      <c r="D13" s="40">
        <f t="shared" si="3"/>
        <v>8704492</v>
      </c>
      <c r="E13" s="40">
        <f t="shared" si="3"/>
        <v>6122388</v>
      </c>
      <c r="F13" s="40">
        <f t="shared" si="3"/>
        <v>4657802</v>
      </c>
      <c r="G13" s="40">
        <f t="shared" si="3"/>
        <v>4160043</v>
      </c>
      <c r="H13" s="40">
        <f t="shared" si="3"/>
        <v>4230734</v>
      </c>
      <c r="I13" s="40">
        <f t="shared" si="3"/>
        <v>4986637</v>
      </c>
      <c r="J13" s="40">
        <f t="shared" si="3"/>
        <v>4903065.78</v>
      </c>
      <c r="K13" s="40">
        <f t="shared" si="3"/>
        <v>5578193</v>
      </c>
      <c r="L13" s="40">
        <f t="shared" si="3"/>
        <v>5964525.15</v>
      </c>
      <c r="M13" s="40">
        <f t="shared" si="3"/>
        <v>7151028</v>
      </c>
      <c r="N13" s="40">
        <f t="shared" si="1"/>
        <v>67484941.93</v>
      </c>
      <c r="O13" s="40">
        <f aca="true" t="shared" si="4" ref="O13:Z13">SUM(O7:O12)</f>
        <v>7289620</v>
      </c>
      <c r="P13" s="40">
        <f t="shared" si="4"/>
        <v>5929316</v>
      </c>
      <c r="Q13" s="40">
        <f t="shared" si="4"/>
        <v>5938368</v>
      </c>
      <c r="R13" s="40">
        <f t="shared" si="4"/>
        <v>5724274</v>
      </c>
      <c r="S13" s="40">
        <f t="shared" si="4"/>
        <v>6475336</v>
      </c>
      <c r="T13" s="40">
        <f t="shared" si="4"/>
        <v>5642328</v>
      </c>
      <c r="U13" s="40">
        <f t="shared" si="4"/>
        <v>6047663</v>
      </c>
      <c r="V13" s="40">
        <f t="shared" si="4"/>
        <v>5362879</v>
      </c>
      <c r="W13" s="40">
        <f t="shared" si="4"/>
        <v>5247224</v>
      </c>
      <c r="X13" s="40">
        <f t="shared" si="4"/>
        <v>5447512</v>
      </c>
      <c r="Y13" s="40">
        <f t="shared" si="4"/>
        <v>4707423</v>
      </c>
      <c r="Z13" s="40">
        <f t="shared" si="4"/>
        <v>6281885</v>
      </c>
      <c r="AA13" s="40">
        <f t="shared" si="2"/>
        <v>70093828</v>
      </c>
      <c r="AB13" s="41">
        <v>7</v>
      </c>
      <c r="AC13" s="41"/>
      <c r="AD13" s="40">
        <f aca="true" t="shared" si="5" ref="AD13:AO13">SUM(AD7:AD12)</f>
        <v>7203031</v>
      </c>
      <c r="AE13" s="40">
        <f t="shared" si="5"/>
        <v>7265940</v>
      </c>
      <c r="AF13" s="40">
        <f t="shared" si="5"/>
        <v>6124389</v>
      </c>
      <c r="AG13" s="40">
        <f t="shared" si="5"/>
        <v>5050161</v>
      </c>
      <c r="AH13" s="40">
        <f t="shared" si="5"/>
        <v>5033188.86</v>
      </c>
      <c r="AI13" s="40">
        <f t="shared" si="5"/>
        <v>4760401.86</v>
      </c>
      <c r="AJ13" s="40">
        <f t="shared" si="5"/>
        <v>5959538</v>
      </c>
      <c r="AK13" s="40">
        <f t="shared" si="5"/>
        <v>5670574</v>
      </c>
      <c r="AL13" s="40">
        <f t="shared" si="5"/>
        <v>6162968</v>
      </c>
      <c r="AM13" s="40">
        <f t="shared" si="5"/>
        <v>5927724</v>
      </c>
      <c r="AN13" s="40">
        <f t="shared" si="5"/>
        <v>5531462</v>
      </c>
      <c r="AO13" s="40">
        <f t="shared" si="5"/>
        <v>6650559</v>
      </c>
      <c r="AP13" s="42">
        <f t="shared" si="0"/>
        <v>71339936.72</v>
      </c>
    </row>
    <row r="14" spans="1:42" ht="18">
      <c r="A14" s="3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44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7"/>
    </row>
    <row r="15" spans="1:44" ht="18">
      <c r="A15" s="33" t="e">
        <f>+#REF!</f>
        <v>#REF!</v>
      </c>
      <c r="B15" s="34">
        <v>94467139</v>
      </c>
      <c r="C15" s="34">
        <v>84253293</v>
      </c>
      <c r="D15" s="34">
        <v>89196672</v>
      </c>
      <c r="E15" s="34">
        <v>81103836</v>
      </c>
      <c r="F15" s="34">
        <v>85991555</v>
      </c>
      <c r="G15" s="34">
        <v>86322455</v>
      </c>
      <c r="H15" s="34">
        <v>92495317</v>
      </c>
      <c r="I15" s="34">
        <v>94467602</v>
      </c>
      <c r="J15" s="34">
        <v>85432172</v>
      </c>
      <c r="K15" s="34">
        <v>88760171</v>
      </c>
      <c r="L15" s="34">
        <v>89270228</v>
      </c>
      <c r="M15" s="34">
        <v>95126299</v>
      </c>
      <c r="N15" s="34">
        <f>SUM(B15:M15)</f>
        <v>1066886739</v>
      </c>
      <c r="O15" s="34">
        <f>94130902+61982-4012</f>
        <v>94188872</v>
      </c>
      <c r="P15" s="34">
        <f>86952717-10736</f>
        <v>86941981</v>
      </c>
      <c r="Q15" s="34">
        <f>89976473-3579</f>
        <v>89972894</v>
      </c>
      <c r="R15" s="34">
        <f>77401141-44307</f>
        <v>77356834</v>
      </c>
      <c r="S15" s="34">
        <v>79263197</v>
      </c>
      <c r="T15" s="34">
        <v>78354644</v>
      </c>
      <c r="U15" s="34">
        <v>81430203</v>
      </c>
      <c r="V15" s="34">
        <v>86352877</v>
      </c>
      <c r="W15" s="34">
        <v>80882771</v>
      </c>
      <c r="X15" s="34">
        <v>85819770</v>
      </c>
      <c r="Y15" s="34">
        <f>85944020+2463</f>
        <v>85946483</v>
      </c>
      <c r="Z15" s="34">
        <f>93421335-74539</f>
        <v>93346796</v>
      </c>
      <c r="AA15" s="34">
        <f t="shared" si="2"/>
        <v>1019857322</v>
      </c>
      <c r="AB15" s="36">
        <v>8</v>
      </c>
      <c r="AC15" s="36"/>
      <c r="AD15" s="34">
        <f>92374549-587000+145966</f>
        <v>91933515</v>
      </c>
      <c r="AE15" s="34">
        <v>83078788</v>
      </c>
      <c r="AF15" s="34">
        <v>87663999</v>
      </c>
      <c r="AG15" s="34">
        <v>80085749</v>
      </c>
      <c r="AH15" s="34">
        <v>83674186</v>
      </c>
      <c r="AI15" s="34">
        <f>147000+81950188</f>
        <v>82097188</v>
      </c>
      <c r="AJ15" s="34">
        <f>90607450-9000</f>
        <v>90598450</v>
      </c>
      <c r="AK15" s="34">
        <v>91927189</v>
      </c>
      <c r="AL15" s="34">
        <v>82590732</v>
      </c>
      <c r="AM15" s="34">
        <f>-23000+86579250</f>
        <v>86556250</v>
      </c>
      <c r="AN15" s="34">
        <f>-5000+300000+85958160</f>
        <v>86253160</v>
      </c>
      <c r="AO15" s="34">
        <f>93486113</f>
        <v>93486113</v>
      </c>
      <c r="AP15" s="45">
        <f>SUM(AD15:AO15)</f>
        <v>1039945319</v>
      </c>
      <c r="AQ15" s="31"/>
      <c r="AR15" s="32"/>
    </row>
    <row r="16" spans="1:42" ht="18">
      <c r="A16" s="33" t="e">
        <f>+#REF!</f>
        <v>#REF!</v>
      </c>
      <c r="B16" s="33">
        <v>0.05</v>
      </c>
      <c r="C16" s="33">
        <v>0.05</v>
      </c>
      <c r="D16" s="33">
        <v>0.05</v>
      </c>
      <c r="E16" s="33">
        <v>0.05</v>
      </c>
      <c r="F16" s="33">
        <v>0.05</v>
      </c>
      <c r="G16" s="33">
        <v>0.05</v>
      </c>
      <c r="H16" s="33">
        <v>0.05</v>
      </c>
      <c r="I16" s="33">
        <v>0.05</v>
      </c>
      <c r="J16" s="33">
        <v>0.05</v>
      </c>
      <c r="K16" s="33">
        <v>0.05</v>
      </c>
      <c r="L16" s="33">
        <v>0.05</v>
      </c>
      <c r="M16" s="33">
        <v>0.05</v>
      </c>
      <c r="N16" s="33">
        <v>0.05</v>
      </c>
      <c r="O16" s="33">
        <v>0.05</v>
      </c>
      <c r="P16" s="33">
        <v>0.05</v>
      </c>
      <c r="Q16" s="33">
        <v>0.05</v>
      </c>
      <c r="R16" s="33">
        <v>0.05</v>
      </c>
      <c r="S16" s="33">
        <v>0.05</v>
      </c>
      <c r="T16" s="33">
        <v>0.05</v>
      </c>
      <c r="U16" s="33">
        <v>0.05</v>
      </c>
      <c r="V16" s="33">
        <v>0.05</v>
      </c>
      <c r="W16" s="33">
        <v>0.05</v>
      </c>
      <c r="X16" s="33">
        <v>0.05</v>
      </c>
      <c r="Y16" s="33">
        <v>0.05</v>
      </c>
      <c r="Z16" s="33">
        <v>0.05</v>
      </c>
      <c r="AA16" s="46">
        <v>0.05</v>
      </c>
      <c r="AB16" s="36">
        <v>9</v>
      </c>
      <c r="AC16" s="36"/>
      <c r="AD16" s="33">
        <v>0.05</v>
      </c>
      <c r="AE16" s="33">
        <v>0.05</v>
      </c>
      <c r="AF16" s="33">
        <v>0.05</v>
      </c>
      <c r="AG16" s="33">
        <v>0.05</v>
      </c>
      <c r="AH16" s="33">
        <v>0.05</v>
      </c>
      <c r="AI16" s="33">
        <v>0.05</v>
      </c>
      <c r="AJ16" s="33">
        <v>0.05</v>
      </c>
      <c r="AK16" s="33">
        <v>0.05</v>
      </c>
      <c r="AL16" s="33">
        <v>0.05</v>
      </c>
      <c r="AM16" s="33">
        <v>0.05</v>
      </c>
      <c r="AN16" s="33">
        <v>0.05</v>
      </c>
      <c r="AO16" s="33">
        <v>0.05</v>
      </c>
      <c r="AP16" s="47">
        <v>0.05</v>
      </c>
    </row>
    <row r="17" spans="1:42" ht="18">
      <c r="A17" s="33" t="e">
        <f>+#REF!</f>
        <v>#REF!</v>
      </c>
      <c r="B17" s="40">
        <f>B15*B16</f>
        <v>4723356.95</v>
      </c>
      <c r="C17" s="40">
        <f>C15*C16</f>
        <v>4212664.65</v>
      </c>
      <c r="D17" s="40">
        <f aca="true" t="shared" si="6" ref="D17:N17">D15*D16</f>
        <v>4459833.600000001</v>
      </c>
      <c r="E17" s="40">
        <f t="shared" si="6"/>
        <v>4055191.8000000003</v>
      </c>
      <c r="F17" s="40">
        <f t="shared" si="6"/>
        <v>4299577.75</v>
      </c>
      <c r="G17" s="40">
        <f t="shared" si="6"/>
        <v>4316122.75</v>
      </c>
      <c r="H17" s="40">
        <f t="shared" si="6"/>
        <v>4624765.850000001</v>
      </c>
      <c r="I17" s="40">
        <f t="shared" si="6"/>
        <v>4723380.100000001</v>
      </c>
      <c r="J17" s="40">
        <f t="shared" si="6"/>
        <v>4271608.600000001</v>
      </c>
      <c r="K17" s="40">
        <f>K15*K16</f>
        <v>4438008.55</v>
      </c>
      <c r="L17" s="40">
        <f>L15*L16</f>
        <v>4463511.4</v>
      </c>
      <c r="M17" s="40">
        <f>M15*M16</f>
        <v>4756314.95</v>
      </c>
      <c r="N17" s="40">
        <f t="shared" si="6"/>
        <v>53344336.95</v>
      </c>
      <c r="O17" s="40">
        <f aca="true" t="shared" si="7" ref="O17:U17">O15*O16</f>
        <v>4709443.600000001</v>
      </c>
      <c r="P17" s="40">
        <f t="shared" si="7"/>
        <v>4347099.05</v>
      </c>
      <c r="Q17" s="40">
        <f t="shared" si="7"/>
        <v>4498644.7</v>
      </c>
      <c r="R17" s="40">
        <f t="shared" si="7"/>
        <v>3867841.7</v>
      </c>
      <c r="S17" s="40">
        <f t="shared" si="7"/>
        <v>3963159.85</v>
      </c>
      <c r="T17" s="40">
        <f t="shared" si="7"/>
        <v>3917732.2</v>
      </c>
      <c r="U17" s="40">
        <f t="shared" si="7"/>
        <v>4071510.1500000004</v>
      </c>
      <c r="V17" s="40">
        <f>V15*V16</f>
        <v>4317643.850000001</v>
      </c>
      <c r="W17" s="40">
        <f>W15*W16</f>
        <v>4044138.5500000003</v>
      </c>
      <c r="X17" s="40">
        <f>X15*X16</f>
        <v>4290988.5</v>
      </c>
      <c r="Y17" s="40">
        <f>Y15*Y16</f>
        <v>4297324.15</v>
      </c>
      <c r="Z17" s="40">
        <f>Z15*Z16</f>
        <v>4667339.8</v>
      </c>
      <c r="AA17" s="40">
        <f t="shared" si="2"/>
        <v>50992866.099999994</v>
      </c>
      <c r="AB17" s="41">
        <v>10</v>
      </c>
      <c r="AC17" s="41"/>
      <c r="AD17" s="40">
        <f aca="true" t="shared" si="8" ref="AD17:AI17">AD15*AD16</f>
        <v>4596675.75</v>
      </c>
      <c r="AE17" s="40">
        <f t="shared" si="8"/>
        <v>4153939.4000000004</v>
      </c>
      <c r="AF17" s="40">
        <f t="shared" si="8"/>
        <v>4383199.95</v>
      </c>
      <c r="AG17" s="40">
        <f t="shared" si="8"/>
        <v>4004287.45</v>
      </c>
      <c r="AH17" s="40">
        <f t="shared" si="8"/>
        <v>4183709.3000000003</v>
      </c>
      <c r="AI17" s="40">
        <f t="shared" si="8"/>
        <v>4104859.4000000004</v>
      </c>
      <c r="AJ17" s="40">
        <f aca="true" t="shared" si="9" ref="AJ17:AP17">AJ15*AJ16</f>
        <v>4529922.5</v>
      </c>
      <c r="AK17" s="40">
        <f t="shared" si="9"/>
        <v>4596359.45</v>
      </c>
      <c r="AL17" s="40">
        <f t="shared" si="9"/>
        <v>4129536.6</v>
      </c>
      <c r="AM17" s="40">
        <f t="shared" si="9"/>
        <v>4327812.5</v>
      </c>
      <c r="AN17" s="40">
        <f t="shared" si="9"/>
        <v>4312658</v>
      </c>
      <c r="AO17" s="40">
        <f t="shared" si="9"/>
        <v>4674305.65</v>
      </c>
      <c r="AP17" s="42">
        <f t="shared" si="9"/>
        <v>51997265.95</v>
      </c>
    </row>
    <row r="18" spans="1:42" ht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36"/>
      <c r="AC18" s="36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47"/>
    </row>
    <row r="19" spans="1:42" ht="18">
      <c r="A19" s="33" t="e">
        <f>+#REF!</f>
        <v>#REF!</v>
      </c>
      <c r="B19" s="34">
        <f aca="true" t="shared" si="10" ref="B19:M19">B13-B17</f>
        <v>723930.0499999998</v>
      </c>
      <c r="C19" s="34">
        <f t="shared" si="10"/>
        <v>1366082.3499999996</v>
      </c>
      <c r="D19" s="34">
        <f t="shared" si="10"/>
        <v>4244658.399999999</v>
      </c>
      <c r="E19" s="34">
        <f t="shared" si="10"/>
        <v>2067196.1999999997</v>
      </c>
      <c r="F19" s="34">
        <f t="shared" si="10"/>
        <v>358224.25</v>
      </c>
      <c r="G19" s="34">
        <f t="shared" si="10"/>
        <v>-156079.75</v>
      </c>
      <c r="H19" s="34">
        <f t="shared" si="10"/>
        <v>-394031.85000000056</v>
      </c>
      <c r="I19" s="34">
        <f t="shared" si="10"/>
        <v>263256.89999999944</v>
      </c>
      <c r="J19" s="34">
        <f t="shared" si="10"/>
        <v>631457.1799999997</v>
      </c>
      <c r="K19" s="34">
        <f t="shared" si="10"/>
        <v>1140184.4500000002</v>
      </c>
      <c r="L19" s="34">
        <f t="shared" si="10"/>
        <v>1501013.75</v>
      </c>
      <c r="M19" s="34">
        <f t="shared" si="10"/>
        <v>2394713.05</v>
      </c>
      <c r="N19" s="34">
        <f>SUM(B19:M19)</f>
        <v>14140604.979999997</v>
      </c>
      <c r="O19" s="34">
        <f aca="true" t="shared" si="11" ref="O19:Z19">O13-O17</f>
        <v>2580176.3999999994</v>
      </c>
      <c r="P19" s="34">
        <f t="shared" si="11"/>
        <v>1582216.9500000002</v>
      </c>
      <c r="Q19" s="34">
        <f t="shared" si="11"/>
        <v>1439723.2999999998</v>
      </c>
      <c r="R19" s="34">
        <f t="shared" si="11"/>
        <v>1856432.2999999998</v>
      </c>
      <c r="S19" s="34">
        <f t="shared" si="11"/>
        <v>2512176.15</v>
      </c>
      <c r="T19" s="34">
        <f t="shared" si="11"/>
        <v>1724595.7999999998</v>
      </c>
      <c r="U19" s="34">
        <f t="shared" si="11"/>
        <v>1976152.8499999996</v>
      </c>
      <c r="V19" s="34">
        <f t="shared" si="11"/>
        <v>1045235.1499999994</v>
      </c>
      <c r="W19" s="34">
        <f t="shared" si="11"/>
        <v>1203085.4499999997</v>
      </c>
      <c r="X19" s="34">
        <f t="shared" si="11"/>
        <v>1156523.5</v>
      </c>
      <c r="Y19" s="34">
        <f t="shared" si="11"/>
        <v>410098.8499999996</v>
      </c>
      <c r="Z19" s="34">
        <f t="shared" si="11"/>
        <v>1614545.2000000002</v>
      </c>
      <c r="AA19" s="34">
        <f t="shared" si="2"/>
        <v>19100961.899999995</v>
      </c>
      <c r="AB19" s="36">
        <v>11</v>
      </c>
      <c r="AC19" s="36"/>
      <c r="AD19" s="34">
        <f aca="true" t="shared" si="12" ref="AD19:AP19">AD13-AD17</f>
        <v>2606355.25</v>
      </c>
      <c r="AE19" s="34">
        <f t="shared" si="12"/>
        <v>3112000.5999999996</v>
      </c>
      <c r="AF19" s="34">
        <f t="shared" si="12"/>
        <v>1741189.0499999998</v>
      </c>
      <c r="AG19" s="34">
        <f t="shared" si="12"/>
        <v>1045873.5499999998</v>
      </c>
      <c r="AH19" s="34">
        <f t="shared" si="12"/>
        <v>849479.56</v>
      </c>
      <c r="AI19" s="34">
        <f t="shared" si="12"/>
        <v>655542.46</v>
      </c>
      <c r="AJ19" s="34">
        <f t="shared" si="12"/>
        <v>1429615.5</v>
      </c>
      <c r="AK19" s="34">
        <f t="shared" si="12"/>
        <v>1074214.5499999998</v>
      </c>
      <c r="AL19" s="34">
        <f t="shared" si="12"/>
        <v>2033431.4</v>
      </c>
      <c r="AM19" s="34">
        <f t="shared" si="12"/>
        <v>1599911.5</v>
      </c>
      <c r="AN19" s="34">
        <f t="shared" si="12"/>
        <v>1218804</v>
      </c>
      <c r="AO19" s="34">
        <f t="shared" si="12"/>
        <v>1976253.3499999996</v>
      </c>
      <c r="AP19" s="37">
        <f t="shared" si="12"/>
        <v>19342670.769999996</v>
      </c>
    </row>
    <row r="20" spans="1:42" ht="18">
      <c r="A20" s="33" t="e">
        <f>+#REF!</f>
        <v>#REF!</v>
      </c>
      <c r="B20" s="48">
        <v>0.9</v>
      </c>
      <c r="C20" s="48">
        <v>0.9</v>
      </c>
      <c r="D20" s="48">
        <v>0.9</v>
      </c>
      <c r="E20" s="48">
        <v>0.9</v>
      </c>
      <c r="F20" s="48">
        <v>0.9</v>
      </c>
      <c r="G20" s="48">
        <v>0.9</v>
      </c>
      <c r="H20" s="48">
        <v>0.9</v>
      </c>
      <c r="I20" s="48">
        <v>0.9</v>
      </c>
      <c r="J20" s="48">
        <v>0.9</v>
      </c>
      <c r="K20" s="48">
        <v>0.9</v>
      </c>
      <c r="L20" s="48">
        <v>0.9</v>
      </c>
      <c r="M20" s="48">
        <v>0.9</v>
      </c>
      <c r="N20" s="48">
        <v>0.9</v>
      </c>
      <c r="O20" s="48">
        <v>0.9</v>
      </c>
      <c r="P20" s="48">
        <v>0.9</v>
      </c>
      <c r="Q20" s="48">
        <v>0.9</v>
      </c>
      <c r="R20" s="48">
        <v>0.9</v>
      </c>
      <c r="S20" s="48">
        <v>0.9</v>
      </c>
      <c r="T20" s="48">
        <v>0.9</v>
      </c>
      <c r="U20" s="48">
        <v>0.9</v>
      </c>
      <c r="V20" s="48">
        <v>0.9</v>
      </c>
      <c r="W20" s="48">
        <v>0.9</v>
      </c>
      <c r="X20" s="48">
        <v>0.9</v>
      </c>
      <c r="Y20" s="48">
        <v>0.9</v>
      </c>
      <c r="Z20" s="48">
        <v>0.9</v>
      </c>
      <c r="AA20" s="49">
        <v>0.9</v>
      </c>
      <c r="AB20" s="50">
        <v>12</v>
      </c>
      <c r="AC20" s="50"/>
      <c r="AD20" s="48">
        <v>0.9</v>
      </c>
      <c r="AE20" s="48">
        <v>0.9</v>
      </c>
      <c r="AF20" s="48">
        <v>0.9</v>
      </c>
      <c r="AG20" s="48">
        <v>0.9</v>
      </c>
      <c r="AH20" s="48">
        <v>0.9</v>
      </c>
      <c r="AI20" s="48">
        <v>0.9</v>
      </c>
      <c r="AJ20" s="48">
        <v>0.9</v>
      </c>
      <c r="AK20" s="48">
        <v>0.9</v>
      </c>
      <c r="AL20" s="48">
        <v>0.9</v>
      </c>
      <c r="AM20" s="48">
        <v>0.9</v>
      </c>
      <c r="AN20" s="48">
        <v>0.9</v>
      </c>
      <c r="AO20" s="48">
        <v>0.9</v>
      </c>
      <c r="AP20" s="51">
        <v>0.9</v>
      </c>
    </row>
    <row r="21" spans="1:42" ht="18.75" thickBot="1">
      <c r="A21" s="33" t="e">
        <f>+#REF!</f>
        <v>#REF!</v>
      </c>
      <c r="B21" s="52">
        <f>B19*B20</f>
        <v>651537.0449999998</v>
      </c>
      <c r="C21" s="52">
        <f aca="true" t="shared" si="13" ref="C21:N21">C19*C20</f>
        <v>1229474.1149999998</v>
      </c>
      <c r="D21" s="52">
        <f t="shared" si="13"/>
        <v>3820192.5599999996</v>
      </c>
      <c r="E21" s="52">
        <f t="shared" si="13"/>
        <v>1860476.5799999998</v>
      </c>
      <c r="F21" s="52">
        <f t="shared" si="13"/>
        <v>322401.825</v>
      </c>
      <c r="G21" s="52">
        <f t="shared" si="13"/>
        <v>-140471.775</v>
      </c>
      <c r="H21" s="52">
        <f t="shared" si="13"/>
        <v>-354628.6650000005</v>
      </c>
      <c r="I21" s="52">
        <f t="shared" si="13"/>
        <v>236931.2099999995</v>
      </c>
      <c r="J21" s="52">
        <f t="shared" si="13"/>
        <v>568311.4619999997</v>
      </c>
      <c r="K21" s="52">
        <f>K19*K20</f>
        <v>1026166.0050000002</v>
      </c>
      <c r="L21" s="52">
        <f>L19*L20</f>
        <v>1350912.375</v>
      </c>
      <c r="M21" s="52">
        <f>M19*M20</f>
        <v>2155241.745</v>
      </c>
      <c r="N21" s="52">
        <f t="shared" si="13"/>
        <v>12726544.481999997</v>
      </c>
      <c r="O21" s="52">
        <f aca="true" t="shared" si="14" ref="O21:U21">O19*O20</f>
        <v>2322158.76</v>
      </c>
      <c r="P21" s="52">
        <f t="shared" si="14"/>
        <v>1423995.2550000001</v>
      </c>
      <c r="Q21" s="52">
        <f t="shared" si="14"/>
        <v>1295750.97</v>
      </c>
      <c r="R21" s="52">
        <f t="shared" si="14"/>
        <v>1670789.0699999998</v>
      </c>
      <c r="S21" s="52">
        <f t="shared" si="14"/>
        <v>2260958.535</v>
      </c>
      <c r="T21" s="52">
        <f t="shared" si="14"/>
        <v>1552136.22</v>
      </c>
      <c r="U21" s="52">
        <f t="shared" si="14"/>
        <v>1778537.5649999997</v>
      </c>
      <c r="V21" s="52">
        <f>V19*V20</f>
        <v>940711.6349999995</v>
      </c>
      <c r="W21" s="52">
        <f>W19*W20</f>
        <v>1082776.9049999998</v>
      </c>
      <c r="X21" s="52">
        <f>X19*X20</f>
        <v>1040871.15</v>
      </c>
      <c r="Y21" s="52">
        <f>Y19*Y20</f>
        <v>369088.9649999997</v>
      </c>
      <c r="Z21" s="52">
        <f>Z19*Z20</f>
        <v>1453090.6800000002</v>
      </c>
      <c r="AA21" s="52">
        <f t="shared" si="2"/>
        <v>17190865.71</v>
      </c>
      <c r="AB21" s="44">
        <v>13</v>
      </c>
      <c r="AC21" s="44"/>
      <c r="AD21" s="52">
        <f aca="true" t="shared" si="15" ref="AD21:AP21">AD19*AD20</f>
        <v>2345719.725</v>
      </c>
      <c r="AE21" s="52">
        <f t="shared" si="15"/>
        <v>2800800.5399999996</v>
      </c>
      <c r="AF21" s="52">
        <f t="shared" si="15"/>
        <v>1567070.1449999998</v>
      </c>
      <c r="AG21" s="52">
        <f t="shared" si="15"/>
        <v>941286.1949999998</v>
      </c>
      <c r="AH21" s="52">
        <f t="shared" si="15"/>
        <v>764531.604</v>
      </c>
      <c r="AI21" s="52">
        <f t="shared" si="15"/>
        <v>589988.214</v>
      </c>
      <c r="AJ21" s="52">
        <f t="shared" si="15"/>
        <v>1286653.95</v>
      </c>
      <c r="AK21" s="52">
        <f t="shared" si="15"/>
        <v>966793.0949999999</v>
      </c>
      <c r="AL21" s="52">
        <f t="shared" si="15"/>
        <v>1830088.26</v>
      </c>
      <c r="AM21" s="52">
        <f t="shared" si="15"/>
        <v>1439920.35</v>
      </c>
      <c r="AN21" s="52">
        <f t="shared" si="15"/>
        <v>1096923.6</v>
      </c>
      <c r="AO21" s="52">
        <f t="shared" si="15"/>
        <v>1778628.0149999997</v>
      </c>
      <c r="AP21" s="53">
        <f t="shared" si="15"/>
        <v>17408403.692999996</v>
      </c>
    </row>
    <row r="22" spans="1:42" ht="18.75" thickTop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6"/>
      <c r="AC22" s="36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47"/>
    </row>
    <row r="23" spans="1:42" ht="18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6"/>
      <c r="AC23" s="36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47"/>
    </row>
    <row r="24" spans="1:42" s="18" customFormat="1" ht="18">
      <c r="A24" s="33" t="e">
        <f>+#REF!</f>
        <v>#REF!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v>13196053</v>
      </c>
      <c r="P24" s="54">
        <f>O27</f>
        <v>15518212</v>
      </c>
      <c r="Q24" s="54">
        <f aca="true" t="shared" si="16" ref="Q24:Z24">P27</f>
        <v>16942207</v>
      </c>
      <c r="R24" s="54">
        <f t="shared" si="16"/>
        <v>18237958</v>
      </c>
      <c r="S24" s="54">
        <f t="shared" si="16"/>
        <v>18924079.51</v>
      </c>
      <c r="T24" s="54">
        <f t="shared" si="16"/>
        <v>20131380.78</v>
      </c>
      <c r="U24" s="54">
        <f t="shared" si="16"/>
        <v>20612580.71</v>
      </c>
      <c r="V24" s="54">
        <f t="shared" si="16"/>
        <v>21353731.26</v>
      </c>
      <c r="W24" s="54">
        <f t="shared" si="16"/>
        <v>21175387.490000002</v>
      </c>
      <c r="X24" s="54">
        <f t="shared" si="16"/>
        <v>21133529.290000003</v>
      </c>
      <c r="Y24" s="54">
        <f t="shared" si="16"/>
        <v>21075072.810000002</v>
      </c>
      <c r="Z24" s="54">
        <f t="shared" si="16"/>
        <v>20352189.980000004</v>
      </c>
      <c r="AA24" s="54"/>
      <c r="AB24" s="55">
        <v>14</v>
      </c>
      <c r="AC24" s="55"/>
      <c r="AD24" s="54">
        <f>Z27</f>
        <v>20713379.130000003</v>
      </c>
      <c r="AE24" s="54">
        <f aca="true" t="shared" si="17" ref="AE24:AO24">AD27</f>
        <v>21902907.700000003</v>
      </c>
      <c r="AF24" s="54">
        <f t="shared" si="17"/>
        <v>23540708.330000002</v>
      </c>
      <c r="AG24" s="54">
        <f t="shared" si="17"/>
        <v>24018269.830000002</v>
      </c>
      <c r="AH24" s="54">
        <f t="shared" si="17"/>
        <v>23723340.32</v>
      </c>
      <c r="AI24" s="54">
        <f t="shared" si="17"/>
        <v>23118313.830000002</v>
      </c>
      <c r="AJ24" s="54">
        <f t="shared" si="17"/>
        <v>22245107.450000003</v>
      </c>
      <c r="AK24" s="54">
        <f t="shared" si="17"/>
        <v>22030712.460000005</v>
      </c>
      <c r="AL24" s="54">
        <f t="shared" si="17"/>
        <v>21437881.590000004</v>
      </c>
      <c r="AM24" s="54">
        <f t="shared" si="17"/>
        <v>21727098.980000004</v>
      </c>
      <c r="AN24" s="54">
        <f t="shared" si="17"/>
        <v>21684442.980000004</v>
      </c>
      <c r="AO24" s="54">
        <f t="shared" si="17"/>
        <v>21323734.900000006</v>
      </c>
      <c r="AP24" s="56">
        <f>+AD24</f>
        <v>20713379.130000003</v>
      </c>
    </row>
    <row r="25" spans="1:42" s="18" customFormat="1" ht="18">
      <c r="A25" s="33" t="e">
        <f>+#REF!</f>
        <v>#REF!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>
        <f>ROUND(O21,0)</f>
        <v>2322159</v>
      </c>
      <c r="P25" s="54">
        <f aca="true" t="shared" si="18" ref="P25:AO25">ROUND(P21,0)</f>
        <v>1423995</v>
      </c>
      <c r="Q25" s="54">
        <f t="shared" si="18"/>
        <v>1295751</v>
      </c>
      <c r="R25" s="54">
        <f t="shared" si="18"/>
        <v>1670789</v>
      </c>
      <c r="S25" s="54">
        <f t="shared" si="18"/>
        <v>2260959</v>
      </c>
      <c r="T25" s="54">
        <f t="shared" si="18"/>
        <v>1552136</v>
      </c>
      <c r="U25" s="54">
        <f t="shared" si="18"/>
        <v>1778538</v>
      </c>
      <c r="V25" s="54">
        <f t="shared" si="18"/>
        <v>940712</v>
      </c>
      <c r="W25" s="54">
        <f t="shared" si="18"/>
        <v>1082777</v>
      </c>
      <c r="X25" s="54">
        <f t="shared" si="18"/>
        <v>1040871</v>
      </c>
      <c r="Y25" s="54">
        <f t="shared" si="18"/>
        <v>369089</v>
      </c>
      <c r="Z25" s="54">
        <f t="shared" si="18"/>
        <v>1453091</v>
      </c>
      <c r="AA25" s="54"/>
      <c r="AB25" s="55">
        <v>15</v>
      </c>
      <c r="AC25" s="55"/>
      <c r="AD25" s="54">
        <f t="shared" si="18"/>
        <v>2345720</v>
      </c>
      <c r="AE25" s="54">
        <f t="shared" si="18"/>
        <v>2800801</v>
      </c>
      <c r="AF25" s="54">
        <f t="shared" si="18"/>
        <v>1567070</v>
      </c>
      <c r="AG25" s="54">
        <f t="shared" si="18"/>
        <v>941286</v>
      </c>
      <c r="AH25" s="54">
        <f t="shared" si="18"/>
        <v>764532</v>
      </c>
      <c r="AI25" s="54">
        <f t="shared" si="18"/>
        <v>589988</v>
      </c>
      <c r="AJ25" s="54">
        <f t="shared" si="18"/>
        <v>1286654</v>
      </c>
      <c r="AK25" s="54">
        <f t="shared" si="18"/>
        <v>966793</v>
      </c>
      <c r="AL25" s="54">
        <f t="shared" si="18"/>
        <v>1830088</v>
      </c>
      <c r="AM25" s="54">
        <f t="shared" si="18"/>
        <v>1439920</v>
      </c>
      <c r="AN25" s="54">
        <f t="shared" si="18"/>
        <v>1096924</v>
      </c>
      <c r="AO25" s="54">
        <f t="shared" si="18"/>
        <v>1778628</v>
      </c>
      <c r="AP25" s="56">
        <f>SUM(AD25:AO25)</f>
        <v>17408404</v>
      </c>
    </row>
    <row r="26" spans="1:42" s="18" customFormat="1" ht="18">
      <c r="A26" s="33" t="e">
        <f>+#REF!</f>
        <v>#REF!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>
        <v>0</v>
      </c>
      <c r="P26" s="54"/>
      <c r="Q26" s="54">
        <v>0</v>
      </c>
      <c r="R26" s="54">
        <v>-984667.49</v>
      </c>
      <c r="S26" s="54">
        <v>-1053657.73</v>
      </c>
      <c r="T26" s="54">
        <v>-1070936.07</v>
      </c>
      <c r="U26" s="54">
        <v>-1037387.45</v>
      </c>
      <c r="V26" s="54">
        <v>-1119055.77</v>
      </c>
      <c r="W26" s="54">
        <v>-1124635.2</v>
      </c>
      <c r="X26" s="54">
        <v>-1099327.48</v>
      </c>
      <c r="Y26" s="54">
        <v>-1091971.83</v>
      </c>
      <c r="Z26" s="54">
        <v>-1091901.85</v>
      </c>
      <c r="AA26" s="54"/>
      <c r="AB26" s="55">
        <v>16</v>
      </c>
      <c r="AC26" s="55"/>
      <c r="AD26" s="57">
        <v>-1156191.43</v>
      </c>
      <c r="AE26" s="57">
        <v>-1163000.37</v>
      </c>
      <c r="AF26" s="57">
        <v>-1089508.5</v>
      </c>
      <c r="AG26" s="57">
        <v>-1236215.51</v>
      </c>
      <c r="AH26" s="57">
        <f>-1461820.15+92261.66</f>
        <v>-1369558.49</v>
      </c>
      <c r="AI26" s="57">
        <v>-1463194.38</v>
      </c>
      <c r="AJ26" s="57">
        <v>-1501048.99</v>
      </c>
      <c r="AK26" s="57">
        <v>-1559623.87</v>
      </c>
      <c r="AL26" s="57">
        <v>-1540870.61</v>
      </c>
      <c r="AM26" s="57">
        <v>-1482576</v>
      </c>
      <c r="AN26" s="57">
        <v>-1457632.08</v>
      </c>
      <c r="AO26" s="57">
        <v>-1456802.59</v>
      </c>
      <c r="AP26" s="58">
        <f>SUM(AD26:AO26)</f>
        <v>-16476222.819999998</v>
      </c>
    </row>
    <row r="27" spans="1:42" s="18" customFormat="1" ht="18.75" thickBot="1">
      <c r="A27" s="33" t="e">
        <f>+#REF!</f>
        <v>#REF!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>
        <f aca="true" t="shared" si="19" ref="O27:Z27">SUM(O24:O26)</f>
        <v>15518212</v>
      </c>
      <c r="P27" s="54">
        <f t="shared" si="19"/>
        <v>16942207</v>
      </c>
      <c r="Q27" s="54">
        <f t="shared" si="19"/>
        <v>18237958</v>
      </c>
      <c r="R27" s="54">
        <f t="shared" si="19"/>
        <v>18924079.51</v>
      </c>
      <c r="S27" s="54">
        <f t="shared" si="19"/>
        <v>20131380.78</v>
      </c>
      <c r="T27" s="54">
        <f t="shared" si="19"/>
        <v>20612580.71</v>
      </c>
      <c r="U27" s="54">
        <f t="shared" si="19"/>
        <v>21353731.26</v>
      </c>
      <c r="V27" s="54">
        <f t="shared" si="19"/>
        <v>21175387.490000002</v>
      </c>
      <c r="W27" s="54">
        <f t="shared" si="19"/>
        <v>21133529.290000003</v>
      </c>
      <c r="X27" s="54">
        <f t="shared" si="19"/>
        <v>21075072.810000002</v>
      </c>
      <c r="Y27" s="54">
        <f t="shared" si="19"/>
        <v>20352189.980000004</v>
      </c>
      <c r="Z27" s="54">
        <f t="shared" si="19"/>
        <v>20713379.130000003</v>
      </c>
      <c r="AA27" s="54"/>
      <c r="AB27" s="55">
        <v>17</v>
      </c>
      <c r="AC27" s="55"/>
      <c r="AD27" s="59">
        <f aca="true" t="shared" si="20" ref="AD27:AO27">SUM(AD24:AD26)</f>
        <v>21902907.700000003</v>
      </c>
      <c r="AE27" s="59">
        <f t="shared" si="20"/>
        <v>23540708.330000002</v>
      </c>
      <c r="AF27" s="59">
        <f t="shared" si="20"/>
        <v>24018269.830000002</v>
      </c>
      <c r="AG27" s="59">
        <f t="shared" si="20"/>
        <v>23723340.32</v>
      </c>
      <c r="AH27" s="59">
        <f t="shared" si="20"/>
        <v>23118313.830000002</v>
      </c>
      <c r="AI27" s="59">
        <f t="shared" si="20"/>
        <v>22245107.450000003</v>
      </c>
      <c r="AJ27" s="59">
        <f t="shared" si="20"/>
        <v>22030712.460000005</v>
      </c>
      <c r="AK27" s="59">
        <f t="shared" si="20"/>
        <v>21437881.590000004</v>
      </c>
      <c r="AL27" s="59">
        <f t="shared" si="20"/>
        <v>21727098.980000004</v>
      </c>
      <c r="AM27" s="59">
        <f t="shared" si="20"/>
        <v>21684442.980000004</v>
      </c>
      <c r="AN27" s="59">
        <f t="shared" si="20"/>
        <v>21323734.900000006</v>
      </c>
      <c r="AO27" s="59">
        <f t="shared" si="20"/>
        <v>21645560.310000006</v>
      </c>
      <c r="AP27" s="60">
        <f>+AP24+AP25+AP26</f>
        <v>21645560.310000002</v>
      </c>
    </row>
    <row r="28" spans="1:42" ht="18.75" thickTop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54"/>
      <c r="AA28" s="33"/>
      <c r="AB28" s="36"/>
      <c r="AC28" s="36"/>
      <c r="AD28" s="33"/>
      <c r="AE28" s="61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47"/>
    </row>
    <row r="29" spans="1:42" ht="18">
      <c r="A29" s="82" t="e">
        <f>+#REF!</f>
        <v>#REF!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6"/>
      <c r="AC29" s="36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47"/>
    </row>
    <row r="30" spans="1:42" ht="18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36"/>
      <c r="AC30" s="36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47"/>
    </row>
    <row r="31" spans="1:42" ht="18">
      <c r="A31" s="83" t="e">
        <f>+#REF!</f>
        <v>#REF!</v>
      </c>
      <c r="B31" s="62">
        <v>-150875</v>
      </c>
      <c r="C31" s="62">
        <f>B34</f>
        <v>-150875</v>
      </c>
      <c r="D31" s="62">
        <f aca="true" t="shared" si="21" ref="D31:M31">C34</f>
        <v>-150875</v>
      </c>
      <c r="E31" s="62">
        <f t="shared" si="21"/>
        <v>-350875</v>
      </c>
      <c r="F31" s="62">
        <f t="shared" si="21"/>
        <v>-489383.94</v>
      </c>
      <c r="G31" s="62">
        <f t="shared" si="21"/>
        <v>-127338.34</v>
      </c>
      <c r="H31" s="62">
        <f t="shared" si="21"/>
        <v>-115095.20999999999</v>
      </c>
      <c r="I31" s="62">
        <f t="shared" si="21"/>
        <v>-103235.60999999999</v>
      </c>
      <c r="J31" s="62">
        <f t="shared" si="21"/>
        <v>-90442.35999999999</v>
      </c>
      <c r="K31" s="62">
        <f t="shared" si="21"/>
        <v>-77585.32999999999</v>
      </c>
      <c r="L31" s="62">
        <f t="shared" si="21"/>
        <v>-65017.61999999999</v>
      </c>
      <c r="M31" s="63">
        <f t="shared" si="21"/>
        <v>-52533.999999999985</v>
      </c>
      <c r="N31" s="63">
        <f>M34</f>
        <v>-647792.18</v>
      </c>
      <c r="O31" s="63">
        <f aca="true" t="shared" si="22" ref="O31:Y31">N34</f>
        <v>-634574.39</v>
      </c>
      <c r="P31" s="63">
        <f t="shared" si="22"/>
        <v>-621278.76</v>
      </c>
      <c r="Q31" s="63">
        <f t="shared" si="22"/>
        <v>-608823.3200000001</v>
      </c>
      <c r="R31" s="63">
        <f t="shared" si="22"/>
        <v>-565103.5000000001</v>
      </c>
      <c r="S31" s="63">
        <f t="shared" si="22"/>
        <v>-521362.7400000001</v>
      </c>
      <c r="T31" s="63">
        <f t="shared" si="22"/>
        <v>-677580.8600000001</v>
      </c>
      <c r="U31" s="63">
        <f t="shared" si="22"/>
        <v>-732666.2900000002</v>
      </c>
      <c r="V31" s="63">
        <f t="shared" si="22"/>
        <v>-885999.0300000001</v>
      </c>
      <c r="W31" s="63">
        <f t="shared" si="22"/>
        <v>-1089892.9100000001</v>
      </c>
      <c r="X31" s="63">
        <f t="shared" si="22"/>
        <v>-1170531.09</v>
      </c>
      <c r="Y31" s="63">
        <f t="shared" si="22"/>
        <v>-1251915.6500000001</v>
      </c>
      <c r="Z31" s="33"/>
      <c r="AA31" s="33"/>
      <c r="AB31" s="36">
        <v>18</v>
      </c>
      <c r="AC31" s="36"/>
      <c r="AD31" s="64">
        <f>+COC!N2</f>
        <v>-647792.18</v>
      </c>
      <c r="AE31" s="64">
        <f>+COC!O2</f>
        <v>-634574.39</v>
      </c>
      <c r="AF31" s="64">
        <f>+COC!P2</f>
        <v>-621278.76</v>
      </c>
      <c r="AG31" s="64">
        <f>+COC!Q2</f>
        <v>-608823.3200000001</v>
      </c>
      <c r="AH31" s="64">
        <f>+COC!R2</f>
        <v>-565103.5000000001</v>
      </c>
      <c r="AI31" s="64">
        <f>+COC!S2</f>
        <v>-521362.7400000001</v>
      </c>
      <c r="AJ31" s="64">
        <f>+COC!T2</f>
        <v>-677580.8600000001</v>
      </c>
      <c r="AK31" s="64">
        <f>+COC!U2</f>
        <v>-732666.2900000002</v>
      </c>
      <c r="AL31" s="64">
        <f>+COC!V2</f>
        <v>-885999.0300000001</v>
      </c>
      <c r="AM31" s="64">
        <f>+COC!W2</f>
        <v>-1089892.9100000001</v>
      </c>
      <c r="AN31" s="64">
        <f>+COC!X2</f>
        <v>-1170531.09</v>
      </c>
      <c r="AO31" s="64">
        <f>+COC!Y2</f>
        <v>-1251915.6500000001</v>
      </c>
      <c r="AP31" s="65">
        <f>+AD31</f>
        <v>-647792.18</v>
      </c>
    </row>
    <row r="32" spans="1:42" ht="18">
      <c r="A32" s="83" t="e">
        <f>+#REF!</f>
        <v>#REF!</v>
      </c>
      <c r="B32" s="62">
        <v>0</v>
      </c>
      <c r="C32" s="62">
        <v>0</v>
      </c>
      <c r="D32" s="62">
        <v>-200000</v>
      </c>
      <c r="E32" s="62">
        <v>-150000</v>
      </c>
      <c r="F32" s="62">
        <v>350000</v>
      </c>
      <c r="G32" s="62"/>
      <c r="H32" s="62"/>
      <c r="I32" s="62"/>
      <c r="J32" s="62"/>
      <c r="K32" s="62"/>
      <c r="L32" s="62">
        <v>0</v>
      </c>
      <c r="M32" s="63">
        <v>-607741</v>
      </c>
      <c r="N32" s="66"/>
      <c r="O32" s="66"/>
      <c r="P32" s="66"/>
      <c r="Q32" s="66"/>
      <c r="R32" s="66"/>
      <c r="S32" s="66">
        <v>-200000</v>
      </c>
      <c r="T32" s="63">
        <v>-100000</v>
      </c>
      <c r="U32" s="66">
        <v>-200000</v>
      </c>
      <c r="V32" s="66">
        <v>-250000</v>
      </c>
      <c r="W32" s="66">
        <v>-125000</v>
      </c>
      <c r="X32" s="66">
        <v>-125000</v>
      </c>
      <c r="Y32" s="66">
        <v>346364</v>
      </c>
      <c r="Z32" s="33"/>
      <c r="AA32" s="54"/>
      <c r="AB32" s="55">
        <v>19</v>
      </c>
      <c r="AC32" s="55"/>
      <c r="AD32" s="67">
        <f>+COC!N3</f>
        <v>0</v>
      </c>
      <c r="AE32" s="67">
        <f>+COC!O3</f>
        <v>0</v>
      </c>
      <c r="AF32" s="67">
        <f>+COC!P3</f>
        <v>0</v>
      </c>
      <c r="AG32" s="67">
        <f>+COC!Q3</f>
        <v>0</v>
      </c>
      <c r="AH32" s="67">
        <f>+COC!R3</f>
        <v>0</v>
      </c>
      <c r="AI32" s="67">
        <f>+COC!S3</f>
        <v>-200000</v>
      </c>
      <c r="AJ32" s="67">
        <f>+COC!T3</f>
        <v>-100000</v>
      </c>
      <c r="AK32" s="67">
        <f>+COC!U3</f>
        <v>-200000</v>
      </c>
      <c r="AL32" s="67">
        <f>+COC!V3</f>
        <v>-250000</v>
      </c>
      <c r="AM32" s="67">
        <f>+COC!W3</f>
        <v>-125000</v>
      </c>
      <c r="AN32" s="67">
        <f>+COC!X3</f>
        <v>-125000</v>
      </c>
      <c r="AO32" s="67">
        <f>+COC!Y3</f>
        <v>346364</v>
      </c>
      <c r="AP32" s="65">
        <f>SUM(AD32:AO32)</f>
        <v>-653636</v>
      </c>
    </row>
    <row r="33" spans="1:42" ht="18">
      <c r="A33" s="85" t="e">
        <f>+#REF!</f>
        <v>#REF!</v>
      </c>
      <c r="B33" s="62">
        <v>0</v>
      </c>
      <c r="C33" s="62">
        <v>0</v>
      </c>
      <c r="D33" s="62">
        <v>0</v>
      </c>
      <c r="E33" s="62">
        <v>11491.06</v>
      </c>
      <c r="F33" s="62">
        <v>12045.6</v>
      </c>
      <c r="G33" s="62">
        <v>12243.13</v>
      </c>
      <c r="H33" s="62">
        <v>11859.6</v>
      </c>
      <c r="I33" s="62">
        <v>12793.25</v>
      </c>
      <c r="J33" s="62">
        <v>12857.03</v>
      </c>
      <c r="K33" s="62">
        <v>12567.71</v>
      </c>
      <c r="L33" s="62">
        <v>12483.62</v>
      </c>
      <c r="M33" s="63">
        <v>12482.82</v>
      </c>
      <c r="N33" s="63">
        <v>13217.79</v>
      </c>
      <c r="O33" s="63">
        <v>13295.63</v>
      </c>
      <c r="P33" s="63">
        <v>12455.44</v>
      </c>
      <c r="Q33" s="63">
        <v>43719.82</v>
      </c>
      <c r="R33" s="63">
        <v>43740.76</v>
      </c>
      <c r="S33" s="63">
        <v>43781.88</v>
      </c>
      <c r="T33" s="63">
        <v>44914.57</v>
      </c>
      <c r="U33" s="66">
        <v>46667.26</v>
      </c>
      <c r="V33" s="66">
        <v>46106.12</v>
      </c>
      <c r="W33" s="66">
        <v>44361.82</v>
      </c>
      <c r="X33" s="66">
        <v>43615.44</v>
      </c>
      <c r="Y33" s="66">
        <v>43590.62</v>
      </c>
      <c r="Z33" s="33"/>
      <c r="AA33" s="61"/>
      <c r="AB33" s="36">
        <v>20</v>
      </c>
      <c r="AC33" s="36"/>
      <c r="AD33" s="64">
        <f>+COC!N5</f>
        <v>13217.79</v>
      </c>
      <c r="AE33" s="64">
        <f>+COC!O5</f>
        <v>13295.63</v>
      </c>
      <c r="AF33" s="64">
        <f>+COC!P5</f>
        <v>12455.44</v>
      </c>
      <c r="AG33" s="64">
        <f>+COC!Q5</f>
        <v>43719.82</v>
      </c>
      <c r="AH33" s="64">
        <f>+COC!R5</f>
        <v>43740.76</v>
      </c>
      <c r="AI33" s="64">
        <f>+COC!S5</f>
        <v>43781.88</v>
      </c>
      <c r="AJ33" s="64">
        <f>+COC!T5</f>
        <v>44914.57</v>
      </c>
      <c r="AK33" s="64">
        <f>+COC!U5</f>
        <v>46667.26</v>
      </c>
      <c r="AL33" s="64">
        <f>+COC!V5</f>
        <v>46106.12</v>
      </c>
      <c r="AM33" s="64">
        <f>+COC!W5</f>
        <v>44361.82</v>
      </c>
      <c r="AN33" s="64">
        <f>+COC!X5</f>
        <v>43615.44</v>
      </c>
      <c r="AO33" s="64">
        <f>+COC!Y5</f>
        <v>43590.62</v>
      </c>
      <c r="AP33" s="65">
        <f>SUM(AD33:AO33)+1</f>
        <v>439468.15</v>
      </c>
    </row>
    <row r="34" spans="1:42" ht="18.75" thickBot="1">
      <c r="A34" s="83" t="e">
        <f>+#REF!</f>
        <v>#REF!</v>
      </c>
      <c r="B34" s="62">
        <f aca="true" t="shared" si="23" ref="B34:Y34">SUM(B31:B33)</f>
        <v>-150875</v>
      </c>
      <c r="C34" s="62">
        <f t="shared" si="23"/>
        <v>-150875</v>
      </c>
      <c r="D34" s="62">
        <f t="shared" si="23"/>
        <v>-350875</v>
      </c>
      <c r="E34" s="62">
        <f t="shared" si="23"/>
        <v>-489383.94</v>
      </c>
      <c r="F34" s="62">
        <f t="shared" si="23"/>
        <v>-127338.34</v>
      </c>
      <c r="G34" s="62">
        <f t="shared" si="23"/>
        <v>-115095.20999999999</v>
      </c>
      <c r="H34" s="62">
        <f t="shared" si="23"/>
        <v>-103235.60999999999</v>
      </c>
      <c r="I34" s="62">
        <f t="shared" si="23"/>
        <v>-90442.35999999999</v>
      </c>
      <c r="J34" s="62">
        <f t="shared" si="23"/>
        <v>-77585.32999999999</v>
      </c>
      <c r="K34" s="62">
        <f t="shared" si="23"/>
        <v>-65017.61999999999</v>
      </c>
      <c r="L34" s="62">
        <f t="shared" si="23"/>
        <v>-52533.999999999985</v>
      </c>
      <c r="M34" s="63">
        <f t="shared" si="23"/>
        <v>-647792.18</v>
      </c>
      <c r="N34" s="63">
        <f t="shared" si="23"/>
        <v>-634574.39</v>
      </c>
      <c r="O34" s="63">
        <f t="shared" si="23"/>
        <v>-621278.76</v>
      </c>
      <c r="P34" s="63">
        <f t="shared" si="23"/>
        <v>-608823.3200000001</v>
      </c>
      <c r="Q34" s="63">
        <f t="shared" si="23"/>
        <v>-565103.5000000001</v>
      </c>
      <c r="R34" s="63">
        <f t="shared" si="23"/>
        <v>-521362.7400000001</v>
      </c>
      <c r="S34" s="63">
        <f t="shared" si="23"/>
        <v>-677580.8600000001</v>
      </c>
      <c r="T34" s="63">
        <f t="shared" si="23"/>
        <v>-732666.2900000002</v>
      </c>
      <c r="U34" s="63">
        <f t="shared" si="23"/>
        <v>-885999.0300000001</v>
      </c>
      <c r="V34" s="63">
        <f t="shared" si="23"/>
        <v>-1089892.9100000001</v>
      </c>
      <c r="W34" s="63">
        <f t="shared" si="23"/>
        <v>-1170531.09</v>
      </c>
      <c r="X34" s="63">
        <f t="shared" si="23"/>
        <v>-1251915.6500000001</v>
      </c>
      <c r="Y34" s="63">
        <f t="shared" si="23"/>
        <v>-861961.0300000001</v>
      </c>
      <c r="Z34" s="33"/>
      <c r="AA34" s="33"/>
      <c r="AB34" s="36">
        <v>21</v>
      </c>
      <c r="AC34" s="36"/>
      <c r="AD34" s="68">
        <f>+COC!N7</f>
        <v>-634574.39</v>
      </c>
      <c r="AE34" s="68">
        <f>+COC!O7</f>
        <v>-621278.76</v>
      </c>
      <c r="AF34" s="68">
        <f>+COC!P7</f>
        <v>-608823.3200000001</v>
      </c>
      <c r="AG34" s="68">
        <f>+COC!Q7</f>
        <v>-565103.5000000001</v>
      </c>
      <c r="AH34" s="68">
        <f>+COC!R7</f>
        <v>-521362.7400000001</v>
      </c>
      <c r="AI34" s="68">
        <f>+COC!S7</f>
        <v>-677580.8600000001</v>
      </c>
      <c r="AJ34" s="68">
        <f>+COC!T7</f>
        <v>-732666.2900000002</v>
      </c>
      <c r="AK34" s="68">
        <f>+COC!U7</f>
        <v>-885999.0300000001</v>
      </c>
      <c r="AL34" s="68">
        <f>+COC!V7</f>
        <v>-1089892.9100000001</v>
      </c>
      <c r="AM34" s="68">
        <f>+COC!W7</f>
        <v>-1170531.09</v>
      </c>
      <c r="AN34" s="68">
        <f>+COC!X7</f>
        <v>-1251915.6500000001</v>
      </c>
      <c r="AO34" s="68">
        <f>+COC!Y7</f>
        <v>-861961.0300000001</v>
      </c>
      <c r="AP34" s="69">
        <f>+AP31+AP32+AP33</f>
        <v>-861960.0300000001</v>
      </c>
    </row>
    <row r="35" spans="1:42" ht="18.75" thickTop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6"/>
      <c r="AC35" s="36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47"/>
    </row>
    <row r="36" spans="1:42" ht="18">
      <c r="A36" s="8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6"/>
      <c r="AC36" s="36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47"/>
    </row>
    <row r="37" spans="1:42" ht="18.75" thickBot="1">
      <c r="A37" s="70" t="s">
        <v>153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6">
        <v>22</v>
      </c>
      <c r="AC37" s="36"/>
      <c r="AD37" s="73">
        <f>+AD27+AD34</f>
        <v>21268333.310000002</v>
      </c>
      <c r="AE37" s="73">
        <f aca="true" t="shared" si="24" ref="AE37:AP37">+AE27+AE34</f>
        <v>22919429.57</v>
      </c>
      <c r="AF37" s="73">
        <f t="shared" si="24"/>
        <v>23409446.51</v>
      </c>
      <c r="AG37" s="73">
        <f t="shared" si="24"/>
        <v>23158236.82</v>
      </c>
      <c r="AH37" s="73">
        <f t="shared" si="24"/>
        <v>22596951.090000004</v>
      </c>
      <c r="AI37" s="73">
        <f t="shared" si="24"/>
        <v>21567526.590000004</v>
      </c>
      <c r="AJ37" s="73">
        <f t="shared" si="24"/>
        <v>21298046.170000006</v>
      </c>
      <c r="AK37" s="73">
        <f t="shared" si="24"/>
        <v>20551882.560000002</v>
      </c>
      <c r="AL37" s="73">
        <f t="shared" si="24"/>
        <v>20637206.070000004</v>
      </c>
      <c r="AM37" s="73">
        <f t="shared" si="24"/>
        <v>20513911.890000004</v>
      </c>
      <c r="AN37" s="73">
        <f t="shared" si="24"/>
        <v>20071819.250000007</v>
      </c>
      <c r="AO37" s="73">
        <f t="shared" si="24"/>
        <v>20783599.280000005</v>
      </c>
      <c r="AP37" s="74">
        <f t="shared" si="24"/>
        <v>20783600.28</v>
      </c>
    </row>
    <row r="38" spans="1:42" ht="18">
      <c r="A38" s="7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1:42" ht="18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6"/>
      <c r="AC39" s="36"/>
      <c r="AD39" s="33"/>
      <c r="AE39" s="33"/>
      <c r="AI39" s="33"/>
      <c r="AJ39" s="33"/>
      <c r="AK39" s="33"/>
      <c r="AL39" s="33"/>
      <c r="AM39" s="33"/>
      <c r="AN39" s="33"/>
      <c r="AO39" s="33"/>
      <c r="AP39" s="33"/>
    </row>
    <row r="40" spans="1:42" ht="18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6"/>
      <c r="AC40" s="36"/>
      <c r="AD40" s="33"/>
      <c r="AE40" s="33"/>
      <c r="AI40" s="33"/>
      <c r="AJ40" s="33"/>
      <c r="AK40" s="33"/>
      <c r="AL40" s="33"/>
      <c r="AM40" s="33"/>
      <c r="AN40" s="33"/>
      <c r="AO40" s="33"/>
      <c r="AP40" s="33"/>
    </row>
    <row r="41" ht="18">
      <c r="AI41" s="33"/>
    </row>
    <row r="42" spans="34:36" ht="18">
      <c r="AH42" s="84" t="s">
        <v>164</v>
      </c>
      <c r="AI42" s="33"/>
      <c r="AJ42" s="33"/>
    </row>
    <row r="43" spans="34:36" ht="18">
      <c r="AH43" s="33" t="s">
        <v>165</v>
      </c>
      <c r="AI43" s="33"/>
      <c r="AJ43" s="33"/>
    </row>
    <row r="44" spans="34:36" ht="18">
      <c r="AH44" s="33" t="s">
        <v>166</v>
      </c>
      <c r="AI44" s="33"/>
      <c r="AJ44" s="33"/>
    </row>
    <row r="45" spans="34:36" ht="18">
      <c r="AH45" s="33" t="s">
        <v>167</v>
      </c>
      <c r="AI45" s="33"/>
      <c r="AJ45" s="33"/>
    </row>
    <row r="46" spans="34:36" ht="18">
      <c r="AH46" s="33" t="s">
        <v>168</v>
      </c>
      <c r="AI46" s="33"/>
      <c r="AJ46" s="33"/>
    </row>
    <row r="47" spans="32:36" ht="18">
      <c r="AF47" s="33"/>
      <c r="AG47" s="33"/>
      <c r="AH47" s="33" t="s">
        <v>169</v>
      </c>
      <c r="AI47" s="33"/>
      <c r="AJ47" s="33"/>
    </row>
    <row r="48" spans="32:36" ht="18">
      <c r="AF48" s="33"/>
      <c r="AG48" s="33"/>
      <c r="AH48" s="33" t="s">
        <v>170</v>
      </c>
      <c r="AI48" s="33"/>
      <c r="AJ48" s="33"/>
    </row>
    <row r="49" spans="32:36" ht="18">
      <c r="AF49" s="33"/>
      <c r="AG49" s="33"/>
      <c r="AH49" s="33" t="s">
        <v>171</v>
      </c>
      <c r="AI49" s="33"/>
      <c r="AJ49" s="33"/>
    </row>
    <row r="50" spans="32:35" ht="18">
      <c r="AF50" s="33"/>
      <c r="AG50" s="33"/>
      <c r="AH50" s="33"/>
      <c r="AI50" s="33"/>
    </row>
    <row r="51" spans="32:35" ht="18">
      <c r="AF51" s="33"/>
      <c r="AG51" s="33"/>
      <c r="AH51" s="33"/>
      <c r="AI51" s="33"/>
    </row>
    <row r="52" spans="32:35" ht="18">
      <c r="AF52" s="33"/>
      <c r="AG52" s="33"/>
      <c r="AH52" s="33"/>
      <c r="AI52" s="33"/>
    </row>
    <row r="53" spans="32:35" ht="18">
      <c r="AF53" s="33"/>
      <c r="AG53" s="33"/>
      <c r="AH53" s="33"/>
      <c r="AI53" s="33"/>
    </row>
    <row r="54" spans="32:35" ht="18">
      <c r="AF54" s="33"/>
      <c r="AG54" s="33"/>
      <c r="AH54" s="33"/>
      <c r="AI54" s="33"/>
    </row>
    <row r="55" spans="32:35" ht="18">
      <c r="AF55" s="33"/>
      <c r="AG55" s="33"/>
      <c r="AH55" s="33"/>
      <c r="AI55" s="33"/>
    </row>
  </sheetData>
  <sheetProtection/>
  <printOptions/>
  <pageMargins left="0.2" right="0.2" top="0.91" bottom="1" header="0.5" footer="0.5"/>
  <pageSetup horizontalDpi="600" verticalDpi="600" orientation="landscape" scale="45" r:id="rId3"/>
  <headerFooter alignWithMargins="0">
    <oddFooter>&amp;R&amp;D &amp;T
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="75" zoomScaleNormal="75" zoomScalePageLayoutView="0" workbookViewId="0" topLeftCell="A1">
      <pane xSplit="1" ySplit="1" topLeftCell="B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2.75"/>
  <cols>
    <col min="1" max="1" width="22.140625" style="0" customWidth="1"/>
    <col min="2" max="13" width="11.8515625" style="0" hidden="1" customWidth="1"/>
    <col min="14" max="21" width="11.8515625" style="0" bestFit="1" customWidth="1"/>
    <col min="22" max="22" width="10.28125" style="0" bestFit="1" customWidth="1"/>
    <col min="23" max="23" width="12.00390625" style="0" customWidth="1"/>
    <col min="24" max="25" width="13.57421875" style="0" customWidth="1"/>
  </cols>
  <sheetData>
    <row r="1" spans="1:25" ht="12.75">
      <c r="A1" t="s">
        <v>124</v>
      </c>
      <c r="B1" s="5">
        <v>37257</v>
      </c>
      <c r="C1" s="5">
        <v>37288</v>
      </c>
      <c r="D1" s="5">
        <v>37316</v>
      </c>
      <c r="E1" s="5">
        <v>37347</v>
      </c>
      <c r="F1" s="5">
        <v>37377</v>
      </c>
      <c r="G1" s="5">
        <v>37408</v>
      </c>
      <c r="H1" s="5">
        <v>37438</v>
      </c>
      <c r="I1" s="5">
        <v>37469</v>
      </c>
      <c r="J1" s="5">
        <v>37500</v>
      </c>
      <c r="K1" s="5">
        <v>37530</v>
      </c>
      <c r="L1" s="5">
        <v>37561</v>
      </c>
      <c r="M1" s="5">
        <v>37591</v>
      </c>
      <c r="N1" s="5">
        <v>37622</v>
      </c>
      <c r="O1" s="5">
        <v>37653</v>
      </c>
      <c r="P1" s="5">
        <v>37681</v>
      </c>
      <c r="Q1" s="5">
        <v>37712</v>
      </c>
      <c r="R1" s="5">
        <v>37742</v>
      </c>
      <c r="S1" s="5">
        <v>37773</v>
      </c>
      <c r="T1" s="5">
        <v>37803</v>
      </c>
      <c r="U1" s="5">
        <v>37834</v>
      </c>
      <c r="V1" s="5">
        <v>37865</v>
      </c>
      <c r="W1" s="5">
        <v>37895</v>
      </c>
      <c r="X1" s="5">
        <v>37926</v>
      </c>
      <c r="Y1" s="5">
        <v>37956</v>
      </c>
    </row>
    <row r="2" spans="1:25" ht="12.75">
      <c r="A2" t="s">
        <v>125</v>
      </c>
      <c r="B2" s="6">
        <v>-150875</v>
      </c>
      <c r="C2" s="6">
        <f>B7</f>
        <v>-150875</v>
      </c>
      <c r="D2" s="6">
        <f aca="true" t="shared" si="0" ref="D2:M2">C7</f>
        <v>-150875</v>
      </c>
      <c r="E2" s="6">
        <f t="shared" si="0"/>
        <v>-350875</v>
      </c>
      <c r="F2" s="6">
        <f t="shared" si="0"/>
        <v>-489383.94</v>
      </c>
      <c r="G2" s="6">
        <f t="shared" si="0"/>
        <v>-127338.34</v>
      </c>
      <c r="H2" s="6">
        <f t="shared" si="0"/>
        <v>-115095.20999999999</v>
      </c>
      <c r="I2" s="6">
        <f t="shared" si="0"/>
        <v>-103235.60999999999</v>
      </c>
      <c r="J2" s="6">
        <f t="shared" si="0"/>
        <v>-90442.35999999999</v>
      </c>
      <c r="K2" s="6">
        <f t="shared" si="0"/>
        <v>-77585.32999999999</v>
      </c>
      <c r="L2" s="6">
        <f t="shared" si="0"/>
        <v>-65017.61999999999</v>
      </c>
      <c r="M2" s="30">
        <f t="shared" si="0"/>
        <v>-52533.999999999985</v>
      </c>
      <c r="N2" s="30">
        <f>M7</f>
        <v>-647792.18</v>
      </c>
      <c r="O2" s="30">
        <f aca="true" t="shared" si="1" ref="O2:Y2">N7</f>
        <v>-634574.39</v>
      </c>
      <c r="P2" s="30">
        <f t="shared" si="1"/>
        <v>-621278.76</v>
      </c>
      <c r="Q2" s="30">
        <f t="shared" si="1"/>
        <v>-608823.3200000001</v>
      </c>
      <c r="R2" s="30">
        <f t="shared" si="1"/>
        <v>-565103.5000000001</v>
      </c>
      <c r="S2" s="30">
        <f t="shared" si="1"/>
        <v>-521362.7400000001</v>
      </c>
      <c r="T2" s="30">
        <f t="shared" si="1"/>
        <v>-677580.8600000001</v>
      </c>
      <c r="U2" s="30">
        <f t="shared" si="1"/>
        <v>-732666.2900000002</v>
      </c>
      <c r="V2" s="30">
        <f t="shared" si="1"/>
        <v>-885999.0300000001</v>
      </c>
      <c r="W2" s="30">
        <f t="shared" si="1"/>
        <v>-1089892.9100000001</v>
      </c>
      <c r="X2" s="30">
        <f t="shared" si="1"/>
        <v>-1170531.09</v>
      </c>
      <c r="Y2" s="30">
        <f t="shared" si="1"/>
        <v>-1251915.6500000001</v>
      </c>
    </row>
    <row r="3" spans="1:26" ht="12.75">
      <c r="A3" t="s">
        <v>128</v>
      </c>
      <c r="B3" s="6">
        <v>0</v>
      </c>
      <c r="C3" s="6">
        <v>0</v>
      </c>
      <c r="D3" s="6">
        <v>-200000</v>
      </c>
      <c r="E3" s="6">
        <v>-150000</v>
      </c>
      <c r="F3" s="6">
        <v>350000</v>
      </c>
      <c r="G3" s="6"/>
      <c r="H3" s="6"/>
      <c r="I3" s="6"/>
      <c r="J3" s="6"/>
      <c r="K3" s="6"/>
      <c r="L3" s="6">
        <v>0</v>
      </c>
      <c r="M3" s="30">
        <v>-607741</v>
      </c>
      <c r="N3" s="24"/>
      <c r="O3" s="24"/>
      <c r="P3" s="24"/>
      <c r="Q3" s="24"/>
      <c r="R3" s="24"/>
      <c r="S3" s="24">
        <v>-200000</v>
      </c>
      <c r="T3" s="30">
        <v>-100000</v>
      </c>
      <c r="U3" s="24">
        <v>-200000</v>
      </c>
      <c r="V3" s="24">
        <v>-250000</v>
      </c>
      <c r="W3" s="24">
        <v>-125000</v>
      </c>
      <c r="X3" s="24">
        <v>-125000</v>
      </c>
      <c r="Y3" s="24">
        <v>346364</v>
      </c>
      <c r="Z3" s="24"/>
    </row>
    <row r="4" spans="2:25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0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2.75">
      <c r="A5" t="s">
        <v>126</v>
      </c>
      <c r="B5" s="6">
        <v>0</v>
      </c>
      <c r="C5" s="6">
        <v>0</v>
      </c>
      <c r="D5" s="6">
        <v>0</v>
      </c>
      <c r="E5" s="6">
        <v>11491.06</v>
      </c>
      <c r="F5" s="6">
        <v>12045.6</v>
      </c>
      <c r="G5" s="6">
        <v>12243.13</v>
      </c>
      <c r="H5" s="6">
        <v>11859.6</v>
      </c>
      <c r="I5" s="6">
        <v>12793.25</v>
      </c>
      <c r="J5" s="6">
        <v>12857.03</v>
      </c>
      <c r="K5" s="6">
        <v>12567.71</v>
      </c>
      <c r="L5" s="6">
        <v>12483.62</v>
      </c>
      <c r="M5" s="30">
        <v>12482.82</v>
      </c>
      <c r="N5" s="30">
        <v>13217.79</v>
      </c>
      <c r="O5" s="30">
        <v>13295.63</v>
      </c>
      <c r="P5" s="30">
        <v>12455.44</v>
      </c>
      <c r="Q5" s="30">
        <v>43719.82</v>
      </c>
      <c r="R5" s="30">
        <v>43740.76</v>
      </c>
      <c r="S5" s="30">
        <v>43781.88</v>
      </c>
      <c r="T5" s="30">
        <v>44914.57</v>
      </c>
      <c r="U5" s="24">
        <v>46667.26</v>
      </c>
      <c r="V5" s="24">
        <v>46106.12</v>
      </c>
      <c r="W5" s="24">
        <v>44361.82</v>
      </c>
      <c r="X5" s="24">
        <v>43615.44</v>
      </c>
      <c r="Y5" s="24">
        <v>43590.62</v>
      </c>
    </row>
    <row r="6" spans="2:25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30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2.75">
      <c r="A7" t="s">
        <v>127</v>
      </c>
      <c r="B7" s="6">
        <f>SUM(B2:B6)</f>
        <v>-150875</v>
      </c>
      <c r="C7" s="6">
        <f aca="true" t="shared" si="2" ref="C7:T7">SUM(C2:C6)</f>
        <v>-150875</v>
      </c>
      <c r="D7" s="6">
        <f t="shared" si="2"/>
        <v>-350875</v>
      </c>
      <c r="E7" s="6">
        <f t="shared" si="2"/>
        <v>-489383.94</v>
      </c>
      <c r="F7" s="6">
        <f t="shared" si="2"/>
        <v>-127338.34</v>
      </c>
      <c r="G7" s="6">
        <f t="shared" si="2"/>
        <v>-115095.20999999999</v>
      </c>
      <c r="H7" s="6">
        <f t="shared" si="2"/>
        <v>-103235.60999999999</v>
      </c>
      <c r="I7" s="6">
        <f t="shared" si="2"/>
        <v>-90442.35999999999</v>
      </c>
      <c r="J7" s="6">
        <f t="shared" si="2"/>
        <v>-77585.32999999999</v>
      </c>
      <c r="K7" s="6">
        <f t="shared" si="2"/>
        <v>-65017.61999999999</v>
      </c>
      <c r="L7" s="6">
        <f t="shared" si="2"/>
        <v>-52533.999999999985</v>
      </c>
      <c r="M7" s="30">
        <f t="shared" si="2"/>
        <v>-647792.18</v>
      </c>
      <c r="N7" s="30">
        <f t="shared" si="2"/>
        <v>-634574.39</v>
      </c>
      <c r="O7" s="30">
        <f t="shared" si="2"/>
        <v>-621278.76</v>
      </c>
      <c r="P7" s="30">
        <f t="shared" si="2"/>
        <v>-608823.3200000001</v>
      </c>
      <c r="Q7" s="30">
        <f t="shared" si="2"/>
        <v>-565103.5000000001</v>
      </c>
      <c r="R7" s="30">
        <f t="shared" si="2"/>
        <v>-521362.7400000001</v>
      </c>
      <c r="S7" s="30">
        <f t="shared" si="2"/>
        <v>-677580.8600000001</v>
      </c>
      <c r="T7" s="30">
        <f t="shared" si="2"/>
        <v>-732666.2900000002</v>
      </c>
      <c r="U7" s="30">
        <f>SUM(U2:U6)</f>
        <v>-885999.0300000001</v>
      </c>
      <c r="V7" s="30">
        <f>SUM(V2:V6)</f>
        <v>-1089892.9100000001</v>
      </c>
      <c r="W7" s="30">
        <f>SUM(W2:W6)</f>
        <v>-1170531.09</v>
      </c>
      <c r="X7" s="30">
        <f>SUM(X2:X6)</f>
        <v>-1251915.6500000001</v>
      </c>
      <c r="Y7" s="30">
        <f>SUM(Y2:Y6)</f>
        <v>-861961.0300000001</v>
      </c>
    </row>
    <row r="8" spans="13:25" ht="12.75"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11" ht="12.75">
      <c r="B11" s="17">
        <f>+B2</f>
        <v>-150875</v>
      </c>
    </row>
    <row r="12" ht="12.75">
      <c r="B12" s="17">
        <f>+SUM(E5:P5)</f>
        <v>149792.68000000002</v>
      </c>
    </row>
    <row r="13" ht="12.75">
      <c r="B13" s="17">
        <f>+B11+B12</f>
        <v>-1082.3199999999779</v>
      </c>
    </row>
    <row r="20" ht="12.75">
      <c r="R20" t="s">
        <v>120</v>
      </c>
    </row>
  </sheetData>
  <sheetProtection/>
  <printOptions/>
  <pageMargins left="0.2" right="0.2" top="1" bottom="1" header="0.5" footer="0.5"/>
  <pageSetup fitToHeight="1" fitToWidth="1" horizontalDpi="600" verticalDpi="600" orientation="landscape" scale="83" r:id="rId1"/>
  <headerFooter alignWithMargins="0">
    <oddHeader>&amp;CMaritime Electric
Non-Consolidated 
Cost of Capital Continuity Schedule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4.8515625" style="0" customWidth="1"/>
    <col min="2" max="2" width="21.7109375" style="0" customWidth="1"/>
  </cols>
  <sheetData>
    <row r="1" spans="1:3" ht="12.75">
      <c r="A1" s="178" t="s">
        <v>176</v>
      </c>
      <c r="B1" s="179"/>
      <c r="C1" s="103"/>
    </row>
    <row r="2" spans="1:3" ht="12.75">
      <c r="A2" s="178" t="s">
        <v>178</v>
      </c>
      <c r="B2" s="179"/>
      <c r="C2" s="80"/>
    </row>
    <row r="3" spans="1:3" ht="12.75">
      <c r="A3" s="94"/>
      <c r="B3" s="93"/>
      <c r="C3" s="80"/>
    </row>
    <row r="4" spans="1:3" ht="15.75">
      <c r="A4" s="104" t="s">
        <v>177</v>
      </c>
      <c r="B4" s="93"/>
      <c r="C4" s="80"/>
    </row>
    <row r="5" spans="1:3" ht="15">
      <c r="A5" s="95"/>
      <c r="B5" s="93"/>
      <c r="C5" s="80"/>
    </row>
    <row r="6" spans="1:3" ht="15">
      <c r="A6" s="95" t="s">
        <v>158</v>
      </c>
      <c r="B6" s="99">
        <f>+'ECAM 04-05'!N11</f>
        <v>70399784.19999997</v>
      </c>
      <c r="C6" s="80"/>
    </row>
    <row r="7" spans="1:3" ht="15">
      <c r="A7" s="95" t="s">
        <v>159</v>
      </c>
      <c r="B7" s="100">
        <f>+'ECAM 04-05'!N12</f>
        <v>23177014</v>
      </c>
      <c r="C7" s="80"/>
    </row>
    <row r="8" spans="1:3" ht="15">
      <c r="A8" s="95" t="s">
        <v>160</v>
      </c>
      <c r="B8" s="100">
        <f>+'ECAM 04-05'!N13</f>
        <v>0</v>
      </c>
      <c r="C8" s="80"/>
    </row>
    <row r="9" spans="1:3" ht="15">
      <c r="A9" s="95" t="s">
        <v>161</v>
      </c>
      <c r="B9" s="100">
        <f>+'ECAM 04-05'!N14</f>
        <v>1106946.21</v>
      </c>
      <c r="C9" s="80"/>
    </row>
    <row r="10" spans="1:3" ht="15">
      <c r="A10" s="95" t="s">
        <v>162</v>
      </c>
      <c r="B10" s="100">
        <f>+'ECAM 04-05'!N15</f>
        <v>4146982.8</v>
      </c>
      <c r="C10" s="80"/>
    </row>
    <row r="11" spans="1:3" ht="15">
      <c r="A11" s="95" t="s">
        <v>156</v>
      </c>
      <c r="B11" s="101">
        <f>+'ECAM 04-05'!N17</f>
        <v>622448</v>
      </c>
      <c r="C11" s="80"/>
    </row>
    <row r="12" spans="1:3" ht="15">
      <c r="A12" s="95" t="s">
        <v>175</v>
      </c>
      <c r="B12" s="99">
        <f>SUM(B6:B11)</f>
        <v>99453175.20999996</v>
      </c>
      <c r="C12" s="80"/>
    </row>
    <row r="13" spans="1:3" ht="15">
      <c r="A13" s="95"/>
      <c r="B13" s="100"/>
      <c r="C13" s="80"/>
    </row>
    <row r="14" spans="1:3" ht="15">
      <c r="A14" s="95" t="s">
        <v>173</v>
      </c>
      <c r="B14" s="101">
        <f>+'ECAM 04-05'!N24</f>
        <v>1332022550.0575976</v>
      </c>
      <c r="C14" s="80"/>
    </row>
    <row r="15" spans="1:3" ht="15">
      <c r="A15" s="95"/>
      <c r="B15" s="100"/>
      <c r="C15" s="80"/>
    </row>
    <row r="16" spans="1:3" ht="15.75" thickBot="1">
      <c r="A16" s="95" t="s">
        <v>174</v>
      </c>
      <c r="B16" s="102">
        <f>+B12/B14</f>
        <v>0.07466328194346225</v>
      </c>
      <c r="C16" s="80"/>
    </row>
    <row r="17" spans="1:3" ht="13.5" thickTop="1">
      <c r="A17" s="96"/>
      <c r="B17" s="98"/>
      <c r="C17" s="97"/>
    </row>
    <row r="18" ht="12.75">
      <c r="C18" s="80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2"/>
  <sheetViews>
    <sheetView tabSelected="1" zoomScale="80" zoomScaleNormal="80" zoomScalePageLayoutView="0" workbookViewId="0" topLeftCell="A1">
      <selection activeCell="B106" sqref="B106"/>
    </sheetView>
  </sheetViews>
  <sheetFormatPr defaultColWidth="9.140625" defaultRowHeight="12.75"/>
  <cols>
    <col min="1" max="1" width="66.140625" style="0" customWidth="1"/>
    <col min="2" max="11" width="15.7109375" style="0" customWidth="1"/>
    <col min="12" max="13" width="16.421875" style="0" bestFit="1" customWidth="1"/>
    <col min="14" max="14" width="15.8515625" style="0" customWidth="1"/>
    <col min="15" max="15" width="14.00390625" style="0" hidden="1" customWidth="1"/>
    <col min="16" max="16" width="9.140625" style="0" hidden="1" customWidth="1"/>
    <col min="17" max="17" width="25.8515625" style="0" hidden="1" customWidth="1"/>
    <col min="18" max="18" width="11.421875" style="0" hidden="1" customWidth="1"/>
    <col min="19" max="20" width="13.00390625" style="0" hidden="1" customWidth="1"/>
    <col min="21" max="21" width="15.140625" style="0" hidden="1" customWidth="1"/>
    <col min="22" max="23" width="13.00390625" style="0" hidden="1" customWidth="1"/>
    <col min="24" max="30" width="11.421875" style="0" bestFit="1" customWidth="1"/>
  </cols>
  <sheetData>
    <row r="1" spans="1:14" ht="18">
      <c r="A1" s="180" t="s">
        <v>219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8">
      <c r="A2" s="180" t="s">
        <v>220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9" customHeight="1" hidden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9.75" customHeight="1" hidden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9.75" customHeight="1" hidden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hidden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2.75" hidden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2.7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2.75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25" ht="18" hidden="1">
      <c r="A10" s="87" t="s">
        <v>214</v>
      </c>
      <c r="B10" s="123">
        <v>43131</v>
      </c>
      <c r="C10" s="123">
        <f>+B10+28</f>
        <v>43159</v>
      </c>
      <c r="D10" s="123">
        <f aca="true" t="shared" si="0" ref="D10:M10">+C10+29</f>
        <v>43188</v>
      </c>
      <c r="E10" s="123">
        <f t="shared" si="0"/>
        <v>43217</v>
      </c>
      <c r="F10" s="123">
        <f t="shared" si="0"/>
        <v>43246</v>
      </c>
      <c r="G10" s="123">
        <f t="shared" si="0"/>
        <v>43275</v>
      </c>
      <c r="H10" s="123">
        <f t="shared" si="0"/>
        <v>43304</v>
      </c>
      <c r="I10" s="123">
        <f t="shared" si="0"/>
        <v>43333</v>
      </c>
      <c r="J10" s="123">
        <f t="shared" si="0"/>
        <v>43362</v>
      </c>
      <c r="K10" s="123">
        <f t="shared" si="0"/>
        <v>43391</v>
      </c>
      <c r="L10" s="123">
        <f t="shared" si="0"/>
        <v>43420</v>
      </c>
      <c r="M10" s="123">
        <f t="shared" si="0"/>
        <v>43449</v>
      </c>
      <c r="N10" s="123" t="str">
        <f>+N91</f>
        <v>Total</v>
      </c>
      <c r="S10" s="151">
        <v>2011</v>
      </c>
      <c r="T10" s="151">
        <f>+S10+1</f>
        <v>2012</v>
      </c>
      <c r="U10" s="151">
        <f>+T10+1</f>
        <v>2013</v>
      </c>
      <c r="V10" s="151">
        <f>+U10+1</f>
        <v>2014</v>
      </c>
      <c r="W10" s="151">
        <f>+V10+1</f>
        <v>2015</v>
      </c>
      <c r="X10" s="152"/>
      <c r="Y10" s="152"/>
    </row>
    <row r="11" spans="1:25" ht="18" hidden="1">
      <c r="A11" s="33" t="s">
        <v>158</v>
      </c>
      <c r="B11" s="18">
        <f>+B19-SUM(B12:B18)</f>
        <v>6983267.4</v>
      </c>
      <c r="C11" s="18">
        <f aca="true" t="shared" si="1" ref="C11:M11">+C19-SUM(C12:C18)</f>
        <v>5515915.600000001</v>
      </c>
      <c r="D11" s="18">
        <f t="shared" si="1"/>
        <v>5564823.18</v>
      </c>
      <c r="E11" s="18">
        <f t="shared" si="1"/>
        <v>7034723.369999999</v>
      </c>
      <c r="F11" s="18">
        <f t="shared" si="1"/>
        <v>6494086.530000001</v>
      </c>
      <c r="G11" s="18">
        <f t="shared" si="1"/>
        <v>4964071.630000002</v>
      </c>
      <c r="H11" s="18">
        <f t="shared" si="1"/>
        <v>6118003.399999999</v>
      </c>
      <c r="I11" s="18">
        <f t="shared" si="1"/>
        <v>6578963.9399999995</v>
      </c>
      <c r="J11" s="18">
        <f t="shared" si="1"/>
        <v>5398469.265196161</v>
      </c>
      <c r="K11" s="18">
        <f t="shared" si="1"/>
        <v>5130011.2493119445</v>
      </c>
      <c r="L11" s="18">
        <f t="shared" si="1"/>
        <v>5595055.548444925</v>
      </c>
      <c r="M11" s="18">
        <f t="shared" si="1"/>
        <v>5022393.087046944</v>
      </c>
      <c r="N11" s="89">
        <f aca="true" t="shared" si="2" ref="N11:N18">SUM(B11:M11)</f>
        <v>70399784.19999997</v>
      </c>
      <c r="S11" s="89"/>
      <c r="T11" s="89"/>
      <c r="U11" s="89"/>
      <c r="V11" s="89"/>
      <c r="W11" s="89"/>
      <c r="X11" s="146"/>
      <c r="Y11" s="146"/>
    </row>
    <row r="12" spans="1:25" ht="18" hidden="1">
      <c r="A12" s="33" t="s">
        <v>159</v>
      </c>
      <c r="B12" s="116">
        <v>2013593</v>
      </c>
      <c r="C12" s="116">
        <v>1949921</v>
      </c>
      <c r="D12" s="116">
        <v>1956525</v>
      </c>
      <c r="E12" s="116">
        <v>1485888</v>
      </c>
      <c r="F12" s="116">
        <v>1742624</v>
      </c>
      <c r="G12" s="116">
        <v>2004654</v>
      </c>
      <c r="H12" s="116">
        <v>2089123</v>
      </c>
      <c r="I12" s="116">
        <v>1945290</v>
      </c>
      <c r="J12" s="116">
        <v>1986614.7033186925</v>
      </c>
      <c r="K12" s="116">
        <v>2006430.6474975927</v>
      </c>
      <c r="L12" s="116">
        <v>1994343.4748276412</v>
      </c>
      <c r="M12" s="116">
        <v>2002007.1743560748</v>
      </c>
      <c r="N12" s="89">
        <f t="shared" si="2"/>
        <v>23177014</v>
      </c>
      <c r="S12" s="89"/>
      <c r="T12" s="89"/>
      <c r="U12" s="89"/>
      <c r="V12" s="89"/>
      <c r="W12" s="89"/>
      <c r="X12" s="146"/>
      <c r="Y12" s="146"/>
    </row>
    <row r="13" spans="1:25" ht="18" hidden="1">
      <c r="A13" s="33" t="s">
        <v>160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89">
        <f t="shared" si="2"/>
        <v>0</v>
      </c>
      <c r="S13" s="89"/>
      <c r="T13" s="89"/>
      <c r="U13" s="89"/>
      <c r="V13" s="89"/>
      <c r="W13" s="89"/>
      <c r="X13" s="146"/>
      <c r="Y13" s="146"/>
    </row>
    <row r="14" spans="1:25" ht="18" hidden="1">
      <c r="A14" s="33" t="s">
        <v>161</v>
      </c>
      <c r="B14" s="116">
        <v>297586.95999999996</v>
      </c>
      <c r="C14" s="116">
        <v>108409.91</v>
      </c>
      <c r="D14" s="116">
        <v>87478.58</v>
      </c>
      <c r="E14" s="116">
        <v>83168.71</v>
      </c>
      <c r="F14" s="116">
        <v>18041.769999999997</v>
      </c>
      <c r="G14" s="116">
        <v>6621.26</v>
      </c>
      <c r="H14" s="116">
        <v>2000.94</v>
      </c>
      <c r="I14" s="116">
        <v>28172.079999999998</v>
      </c>
      <c r="J14" s="116">
        <v>3408.552215499519</v>
      </c>
      <c r="K14" s="116">
        <v>61487.89224286648</v>
      </c>
      <c r="L14" s="116">
        <v>62424.95338070712</v>
      </c>
      <c r="M14" s="116">
        <v>348144.602160927</v>
      </c>
      <c r="N14" s="89">
        <f t="shared" si="2"/>
        <v>1106946.21</v>
      </c>
      <c r="S14" s="89"/>
      <c r="T14" s="89"/>
      <c r="U14" s="89"/>
      <c r="V14" s="89"/>
      <c r="W14" s="89"/>
      <c r="X14" s="146"/>
      <c r="Y14" s="146"/>
    </row>
    <row r="15" spans="1:25" ht="18" hidden="1">
      <c r="A15" s="33" t="s">
        <v>162</v>
      </c>
      <c r="B15" s="18">
        <v>536762.35</v>
      </c>
      <c r="C15" s="18">
        <v>297602.20000000007</v>
      </c>
      <c r="D15" s="18">
        <v>323149.05000000005</v>
      </c>
      <c r="E15" s="18">
        <v>330380.99</v>
      </c>
      <c r="F15" s="18">
        <v>344908.06</v>
      </c>
      <c r="G15" s="18">
        <v>275748.84</v>
      </c>
      <c r="H15" s="18">
        <v>290353.64</v>
      </c>
      <c r="I15" s="18">
        <v>204399.56</v>
      </c>
      <c r="J15" s="18">
        <v>348837.7067186285</v>
      </c>
      <c r="K15" s="18">
        <v>360356.9553997377</v>
      </c>
      <c r="L15" s="18">
        <v>386684.29376968415</v>
      </c>
      <c r="M15" s="18">
        <v>447799.1541119495</v>
      </c>
      <c r="N15" s="89">
        <f t="shared" si="2"/>
        <v>4146982.8</v>
      </c>
      <c r="S15" s="89"/>
      <c r="T15" s="89"/>
      <c r="U15" s="89"/>
      <c r="V15" s="89"/>
      <c r="W15" s="89"/>
      <c r="X15" s="146"/>
      <c r="Y15" s="146"/>
    </row>
    <row r="16" spans="1:25" ht="18" hidden="1">
      <c r="A16" s="166" t="s">
        <v>216</v>
      </c>
      <c r="B16" s="164">
        <v>-68222.64</v>
      </c>
      <c r="C16" s="164">
        <v>-68200</v>
      </c>
      <c r="D16" s="164">
        <v>-71422.84</v>
      </c>
      <c r="E16" s="164">
        <v>-68200</v>
      </c>
      <c r="F16" s="164">
        <v>-67897.5</v>
      </c>
      <c r="G16" s="164">
        <v>-72450.7</v>
      </c>
      <c r="H16" s="164">
        <v>-53978.56</v>
      </c>
      <c r="I16" s="164">
        <v>-66694.3</v>
      </c>
      <c r="J16" s="164">
        <v>-76659.66266646158</v>
      </c>
      <c r="K16" s="164">
        <v>-76868.78899654264</v>
      </c>
      <c r="L16" s="164">
        <v>-77346.74895786708</v>
      </c>
      <c r="M16" s="164">
        <v>-78456.25937912875</v>
      </c>
      <c r="N16" s="165">
        <f t="shared" si="2"/>
        <v>-846398</v>
      </c>
      <c r="S16" s="89"/>
      <c r="T16" s="89"/>
      <c r="U16" s="89"/>
      <c r="V16" s="89"/>
      <c r="W16" s="89"/>
      <c r="X16" s="146"/>
      <c r="Y16" s="146"/>
    </row>
    <row r="17" spans="1:25" ht="18" hidden="1">
      <c r="A17" s="33" t="s">
        <v>194</v>
      </c>
      <c r="B17" s="116">
        <v>21700</v>
      </c>
      <c r="C17" s="116">
        <v>16500</v>
      </c>
      <c r="D17" s="116">
        <v>21700</v>
      </c>
      <c r="E17" s="116">
        <v>21700</v>
      </c>
      <c r="F17" s="116">
        <v>21700</v>
      </c>
      <c r="G17" s="116">
        <v>21700</v>
      </c>
      <c r="H17" s="116">
        <v>21700</v>
      </c>
      <c r="I17" s="116">
        <v>21700</v>
      </c>
      <c r="J17" s="116">
        <v>113512</v>
      </c>
      <c r="K17" s="116">
        <v>113512</v>
      </c>
      <c r="L17" s="116">
        <v>113512</v>
      </c>
      <c r="M17" s="116">
        <v>113512</v>
      </c>
      <c r="N17" s="89">
        <f t="shared" si="2"/>
        <v>622448</v>
      </c>
      <c r="S17" s="89"/>
      <c r="T17" s="89"/>
      <c r="U17" s="89"/>
      <c r="V17" s="89"/>
      <c r="W17" s="89"/>
      <c r="X17" s="146"/>
      <c r="Y17" s="146"/>
    </row>
    <row r="18" spans="1:25" ht="18" hidden="1">
      <c r="A18" s="33" t="s">
        <v>195</v>
      </c>
      <c r="B18" s="18">
        <v>2516157.1</v>
      </c>
      <c r="C18" s="18">
        <v>2038172.01</v>
      </c>
      <c r="D18" s="18">
        <v>2737847.85</v>
      </c>
      <c r="E18" s="18">
        <v>2029571.54</v>
      </c>
      <c r="F18" s="18">
        <v>1993439.85</v>
      </c>
      <c r="G18" s="18">
        <v>1674912.24</v>
      </c>
      <c r="H18" s="18">
        <v>1457940.45</v>
      </c>
      <c r="I18" s="18">
        <v>1182336.15</v>
      </c>
      <c r="J18" s="18">
        <v>1941181.0901462114</v>
      </c>
      <c r="K18" s="18">
        <v>2679990.0616024905</v>
      </c>
      <c r="L18" s="18">
        <v>2271371.0534102796</v>
      </c>
      <c r="M18" s="18">
        <v>3094358.6048410204</v>
      </c>
      <c r="N18" s="89">
        <f t="shared" si="2"/>
        <v>25617278.000000004</v>
      </c>
      <c r="S18" s="89"/>
      <c r="T18" s="89"/>
      <c r="U18" s="89"/>
      <c r="V18" s="89"/>
      <c r="W18" s="89"/>
      <c r="X18" s="146"/>
      <c r="Y18" s="146"/>
    </row>
    <row r="19" spans="1:25" ht="18" hidden="1">
      <c r="A19" s="33"/>
      <c r="B19" s="88">
        <v>12300844.17</v>
      </c>
      <c r="C19" s="88">
        <v>9858320.72</v>
      </c>
      <c r="D19" s="88">
        <v>10620100.82</v>
      </c>
      <c r="E19" s="88">
        <v>10917232.61</v>
      </c>
      <c r="F19" s="88">
        <v>10546902.71</v>
      </c>
      <c r="G19" s="88">
        <v>8875257.270000001</v>
      </c>
      <c r="H19" s="88">
        <v>9925142.87</v>
      </c>
      <c r="I19" s="88">
        <v>9894167.43</v>
      </c>
      <c r="J19" s="88">
        <v>9715363.654928733</v>
      </c>
      <c r="K19" s="88">
        <v>10274920.01705809</v>
      </c>
      <c r="L19" s="88">
        <v>10346044.57487537</v>
      </c>
      <c r="M19" s="88">
        <v>10949758.363137787</v>
      </c>
      <c r="N19" s="88">
        <v>124224055.20999996</v>
      </c>
      <c r="O19" s="89">
        <v>124224055.21</v>
      </c>
      <c r="S19" s="88"/>
      <c r="T19" s="88"/>
      <c r="U19" s="88"/>
      <c r="V19" s="88"/>
      <c r="W19" s="88"/>
      <c r="X19" s="146"/>
      <c r="Y19" s="146"/>
    </row>
    <row r="20" spans="1:25" ht="7.5" customHeight="1" hidden="1">
      <c r="A20" s="33"/>
      <c r="X20" s="80"/>
      <c r="Y20" s="80"/>
    </row>
    <row r="21" spans="1:25" s="31" customFormat="1" ht="18" hidden="1">
      <c r="A21" s="159" t="s">
        <v>196</v>
      </c>
      <c r="B21" s="160"/>
      <c r="C21" s="160"/>
      <c r="D21" s="160"/>
      <c r="E21" s="160"/>
      <c r="F21" s="160">
        <v>0</v>
      </c>
      <c r="G21" s="160">
        <v>0</v>
      </c>
      <c r="H21" s="160"/>
      <c r="I21" s="160"/>
      <c r="J21" s="160"/>
      <c r="K21" s="160"/>
      <c r="L21" s="160"/>
      <c r="M21" s="160"/>
      <c r="N21" s="160">
        <f>SUM(B21:M21)</f>
        <v>0</v>
      </c>
      <c r="O21" s="89">
        <v>124220693.21</v>
      </c>
      <c r="S21" s="160"/>
      <c r="T21" s="160"/>
      <c r="U21" s="160"/>
      <c r="V21" s="160"/>
      <c r="W21" s="160"/>
      <c r="X21" s="161"/>
      <c r="Y21" s="161"/>
    </row>
    <row r="22" spans="1:25" ht="18" hidden="1">
      <c r="A22" s="33" t="s">
        <v>215</v>
      </c>
      <c r="B22" s="18">
        <f>+B19+B21</f>
        <v>12300844.17</v>
      </c>
      <c r="C22" s="18">
        <f aca="true" t="shared" si="3" ref="C22:M22">+C19+C21</f>
        <v>9858320.72</v>
      </c>
      <c r="D22" s="18">
        <f t="shared" si="3"/>
        <v>10620100.82</v>
      </c>
      <c r="E22" s="18">
        <f t="shared" si="3"/>
        <v>10917232.61</v>
      </c>
      <c r="F22" s="18">
        <f t="shared" si="3"/>
        <v>10546902.71</v>
      </c>
      <c r="G22" s="18">
        <f t="shared" si="3"/>
        <v>8875257.270000001</v>
      </c>
      <c r="H22" s="18">
        <f t="shared" si="3"/>
        <v>9925142.87</v>
      </c>
      <c r="I22" s="18">
        <f t="shared" si="3"/>
        <v>9894167.43</v>
      </c>
      <c r="J22" s="18">
        <f t="shared" si="3"/>
        <v>9715363.654928733</v>
      </c>
      <c r="K22" s="18">
        <f t="shared" si="3"/>
        <v>10274920.01705809</v>
      </c>
      <c r="L22" s="18">
        <f t="shared" si="3"/>
        <v>10346044.57487537</v>
      </c>
      <c r="M22" s="18">
        <f t="shared" si="3"/>
        <v>10949758.363137787</v>
      </c>
      <c r="N22" s="137">
        <f>SUM(B22:M22)</f>
        <v>124224055.20999996</v>
      </c>
      <c r="S22" s="137"/>
      <c r="T22" s="137"/>
      <c r="U22" s="137"/>
      <c r="V22" s="137"/>
      <c r="W22" s="137"/>
      <c r="X22" s="153"/>
      <c r="Y22" s="153"/>
    </row>
    <row r="23" spans="1:25" ht="7.5" customHeight="1" hidden="1">
      <c r="A23" s="33"/>
      <c r="X23" s="80"/>
      <c r="Y23" s="80"/>
    </row>
    <row r="24" spans="1:25" ht="18" hidden="1">
      <c r="A24" s="33" t="s">
        <v>197</v>
      </c>
      <c r="B24" s="18">
        <v>135583129</v>
      </c>
      <c r="C24" s="18">
        <v>110433582</v>
      </c>
      <c r="D24" s="18">
        <v>119954419</v>
      </c>
      <c r="E24" s="18">
        <v>103593807</v>
      </c>
      <c r="F24" s="18">
        <v>99856711</v>
      </c>
      <c r="G24" s="18">
        <v>97868701</v>
      </c>
      <c r="H24" s="18">
        <v>110198528</v>
      </c>
      <c r="I24" s="18">
        <v>112669670</v>
      </c>
      <c r="J24" s="18">
        <v>97126406.64381605</v>
      </c>
      <c r="K24" s="18">
        <v>101270272.79553576</v>
      </c>
      <c r="L24" s="18">
        <v>110741113.24322961</v>
      </c>
      <c r="M24" s="18">
        <v>132726210.37501621</v>
      </c>
      <c r="N24" s="89">
        <f>SUM(B24:M24)</f>
        <v>1332022550.0575976</v>
      </c>
      <c r="O24" s="89">
        <f>+O19-O21</f>
        <v>3362</v>
      </c>
      <c r="S24" s="89"/>
      <c r="T24" s="89"/>
      <c r="U24" s="89"/>
      <c r="V24" s="89"/>
      <c r="W24" s="89"/>
      <c r="X24" s="146"/>
      <c r="Y24" s="146"/>
    </row>
    <row r="25" spans="1:25" ht="18" hidden="1">
      <c r="A25" s="33" t="s">
        <v>183</v>
      </c>
      <c r="B25" s="147">
        <v>0.08988</v>
      </c>
      <c r="C25" s="147">
        <v>0.08988</v>
      </c>
      <c r="D25" s="147">
        <v>0.09161</v>
      </c>
      <c r="E25" s="147">
        <v>0.09161</v>
      </c>
      <c r="F25" s="147">
        <v>0.09161</v>
      </c>
      <c r="G25" s="147">
        <v>0.09161</v>
      </c>
      <c r="H25" s="147">
        <v>0.09161</v>
      </c>
      <c r="I25" s="147">
        <v>0.09161</v>
      </c>
      <c r="J25" s="147">
        <v>0.09161</v>
      </c>
      <c r="K25" s="147">
        <v>0.09161</v>
      </c>
      <c r="L25" s="147">
        <v>0.09161</v>
      </c>
      <c r="M25" s="147">
        <v>0.09161</v>
      </c>
      <c r="N25" s="149">
        <f>+N26/N24</f>
        <v>0.0912904792005874</v>
      </c>
      <c r="S25" s="149"/>
      <c r="T25" s="149"/>
      <c r="U25" s="149"/>
      <c r="V25" s="149"/>
      <c r="W25" s="149"/>
      <c r="X25" s="154"/>
      <c r="Y25" s="154"/>
    </row>
    <row r="26" spans="1:25" ht="18" hidden="1">
      <c r="A26" s="33" t="s">
        <v>157</v>
      </c>
      <c r="B26" s="90">
        <f aca="true" t="shared" si="4" ref="B26:M26">+B24*B25</f>
        <v>12186211.63452</v>
      </c>
      <c r="C26" s="90">
        <f t="shared" si="4"/>
        <v>9925770.35016</v>
      </c>
      <c r="D26" s="90">
        <f t="shared" si="4"/>
        <v>10989024.32459</v>
      </c>
      <c r="E26" s="90">
        <f t="shared" si="4"/>
        <v>9490228.65927</v>
      </c>
      <c r="F26" s="90">
        <f t="shared" si="4"/>
        <v>9147873.29471</v>
      </c>
      <c r="G26" s="90">
        <f t="shared" si="4"/>
        <v>8965751.69861</v>
      </c>
      <c r="H26" s="90">
        <f t="shared" si="4"/>
        <v>10095287.15008</v>
      </c>
      <c r="I26" s="90">
        <f t="shared" si="4"/>
        <v>10321668.4687</v>
      </c>
      <c r="J26" s="90">
        <f t="shared" si="4"/>
        <v>8897750.112639988</v>
      </c>
      <c r="K26" s="90">
        <f t="shared" si="4"/>
        <v>9277369.690799031</v>
      </c>
      <c r="L26" s="90">
        <f t="shared" si="4"/>
        <v>10144993.384212265</v>
      </c>
      <c r="M26" s="90">
        <f t="shared" si="4"/>
        <v>12159048.132455235</v>
      </c>
      <c r="N26" s="90">
        <f>SUM(B26:M26)</f>
        <v>121600976.90074651</v>
      </c>
      <c r="S26" s="90"/>
      <c r="T26" s="90"/>
      <c r="U26" s="90"/>
      <c r="V26" s="90"/>
      <c r="W26" s="90"/>
      <c r="X26" s="155"/>
      <c r="Y26" s="155"/>
    </row>
    <row r="27" spans="1:25" ht="7.5" customHeight="1" hidden="1">
      <c r="A27" s="33"/>
      <c r="X27" s="80"/>
      <c r="Y27" s="80"/>
    </row>
    <row r="28" spans="1:25" ht="18.75" hidden="1" thickBot="1">
      <c r="A28" s="33" t="s">
        <v>198</v>
      </c>
      <c r="B28" s="91">
        <f>+B19-B26</f>
        <v>114632.53548000008</v>
      </c>
      <c r="C28" s="91">
        <f aca="true" t="shared" si="5" ref="C28:M28">+C19-C26</f>
        <v>-67449.63016000018</v>
      </c>
      <c r="D28" s="91">
        <f t="shared" si="5"/>
        <v>-368923.5045899991</v>
      </c>
      <c r="E28" s="91">
        <f t="shared" si="5"/>
        <v>1427003.9507299997</v>
      </c>
      <c r="F28" s="91">
        <f t="shared" si="5"/>
        <v>1399029.4152900018</v>
      </c>
      <c r="G28" s="91">
        <f t="shared" si="5"/>
        <v>-90494.4286099989</v>
      </c>
      <c r="H28" s="91">
        <f t="shared" si="5"/>
        <v>-170144.28007999994</v>
      </c>
      <c r="I28" s="91">
        <f t="shared" si="5"/>
        <v>-427501.03869999945</v>
      </c>
      <c r="J28" s="91">
        <f t="shared" si="5"/>
        <v>817613.5422887448</v>
      </c>
      <c r="K28" s="91">
        <f t="shared" si="5"/>
        <v>997550.326259058</v>
      </c>
      <c r="L28" s="91">
        <f t="shared" si="5"/>
        <v>201051.19066310488</v>
      </c>
      <c r="M28" s="91">
        <f t="shared" si="5"/>
        <v>-1209289.7693174481</v>
      </c>
      <c r="N28" s="91">
        <f>+N19-N26</f>
        <v>2623078.309253454</v>
      </c>
      <c r="O28" s="17"/>
      <c r="S28" s="91"/>
      <c r="T28" s="91"/>
      <c r="U28" s="91"/>
      <c r="V28" s="91"/>
      <c r="W28" s="91"/>
      <c r="X28" s="155"/>
      <c r="Y28" s="155"/>
    </row>
    <row r="29" spans="24:25" ht="8.25" customHeight="1" hidden="1" thickTop="1">
      <c r="X29" s="80"/>
      <c r="Y29" s="80"/>
    </row>
    <row r="30" spans="1:25" ht="18" hidden="1">
      <c r="A30" s="33" t="s">
        <v>199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f>+B30</f>
        <v>0</v>
      </c>
      <c r="S30" s="18" t="e">
        <f>+#REF!</f>
        <v>#REF!</v>
      </c>
      <c r="T30" s="18" t="e">
        <f>+S32</f>
        <v>#REF!</v>
      </c>
      <c r="U30" s="18" t="e">
        <f>+T32</f>
        <v>#REF!</v>
      </c>
      <c r="V30" s="18" t="e">
        <f>+U32</f>
        <v>#REF!</v>
      </c>
      <c r="W30" s="18" t="e">
        <f>+V32</f>
        <v>#REF!</v>
      </c>
      <c r="X30" s="155"/>
      <c r="Y30" s="155"/>
    </row>
    <row r="31" spans="1:25" ht="18" hidden="1">
      <c r="A31" s="33" t="s">
        <v>200</v>
      </c>
      <c r="B31" s="162">
        <v>0</v>
      </c>
      <c r="C31" s="162">
        <v>0</v>
      </c>
      <c r="D31" s="162">
        <v>0</v>
      </c>
      <c r="E31" s="162">
        <v>0</v>
      </c>
      <c r="F31" s="162">
        <v>0</v>
      </c>
      <c r="G31" s="163">
        <v>0</v>
      </c>
      <c r="H31" s="162">
        <v>0</v>
      </c>
      <c r="I31" s="162">
        <v>0</v>
      </c>
      <c r="J31" s="162">
        <v>0</v>
      </c>
      <c r="K31" s="163">
        <v>0</v>
      </c>
      <c r="L31" s="162">
        <v>0</v>
      </c>
      <c r="M31" s="162">
        <v>0</v>
      </c>
      <c r="N31" s="114">
        <f>SUM(B31:M31)</f>
        <v>0</v>
      </c>
      <c r="S31" s="114" t="e">
        <f>+#REF!</f>
        <v>#REF!</v>
      </c>
      <c r="T31" s="114">
        <f>+N31</f>
        <v>0</v>
      </c>
      <c r="U31" s="114">
        <f>+N112+0.08</f>
        <v>0.08</v>
      </c>
      <c r="V31" s="114">
        <f>+N202</f>
        <v>0</v>
      </c>
      <c r="W31" s="114">
        <v>0</v>
      </c>
      <c r="X31" s="155"/>
      <c r="Y31" s="155"/>
    </row>
    <row r="32" spans="1:25" ht="18" hidden="1">
      <c r="A32" s="33" t="s">
        <v>201</v>
      </c>
      <c r="B32" s="18">
        <f>+B30+B31</f>
        <v>0</v>
      </c>
      <c r="C32" s="18">
        <f aca="true" t="shared" si="6" ref="C32:N32">+C30+C31</f>
        <v>0</v>
      </c>
      <c r="D32" s="18">
        <f t="shared" si="6"/>
        <v>0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8">
        <f t="shared" si="6"/>
        <v>0</v>
      </c>
      <c r="M32" s="18">
        <f t="shared" si="6"/>
        <v>0</v>
      </c>
      <c r="N32" s="18">
        <f t="shared" si="6"/>
        <v>0</v>
      </c>
      <c r="S32" s="18" t="e">
        <f>+S30+S31</f>
        <v>#REF!</v>
      </c>
      <c r="T32" s="18" t="e">
        <f>+T30+T31</f>
        <v>#REF!</v>
      </c>
      <c r="U32" s="29" t="e">
        <f>+U30+U31</f>
        <v>#REF!</v>
      </c>
      <c r="V32" s="18" t="e">
        <f>+V30+V31</f>
        <v>#REF!</v>
      </c>
      <c r="W32" s="18" t="e">
        <f>+W30+W31</f>
        <v>#REF!</v>
      </c>
      <c r="X32" s="155"/>
      <c r="Y32" s="155"/>
    </row>
    <row r="33" spans="2:25" ht="7.5" customHeight="1" hidden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S33" s="18"/>
      <c r="T33" s="18"/>
      <c r="U33" s="18"/>
      <c r="V33" s="18"/>
      <c r="W33" s="18"/>
      <c r="X33" s="155"/>
      <c r="Y33" s="155"/>
    </row>
    <row r="34" spans="1:25" ht="18" hidden="1">
      <c r="A34" s="33" t="s">
        <v>202</v>
      </c>
      <c r="B34" s="18">
        <v>2876604</v>
      </c>
      <c r="C34" s="89">
        <f>+B37</f>
        <v>2842702.30509</v>
      </c>
      <c r="D34" s="89">
        <f aca="true" t="shared" si="7" ref="D34:M34">+C37</f>
        <v>2633115.55491</v>
      </c>
      <c r="E34" s="89">
        <f t="shared" si="7"/>
        <v>2204708.759745001</v>
      </c>
      <c r="F34" s="89">
        <f t="shared" si="7"/>
        <v>3570428.1231500003</v>
      </c>
      <c r="G34" s="89">
        <f t="shared" si="7"/>
        <v>4914014.138065002</v>
      </c>
      <c r="H34" s="89">
        <f t="shared" si="7"/>
        <v>4769252.822905003</v>
      </c>
      <c r="I34" s="89">
        <f t="shared" si="7"/>
        <v>4545222.523050003</v>
      </c>
      <c r="J34" s="89">
        <f t="shared" si="7"/>
        <v>4057124.4245250034</v>
      </c>
      <c r="K34" s="89">
        <f t="shared" si="7"/>
        <v>4818782.448241357</v>
      </c>
      <c r="L34" s="89">
        <f t="shared" si="7"/>
        <v>5763821.602086211</v>
      </c>
      <c r="M34" s="89">
        <f t="shared" si="7"/>
        <v>5910193.121082297</v>
      </c>
      <c r="N34" s="89">
        <f>+B34</f>
        <v>2876604</v>
      </c>
      <c r="S34" s="89" t="e">
        <f>+#REF!</f>
        <v>#REF!</v>
      </c>
      <c r="T34" s="89" t="e">
        <f>+S37</f>
        <v>#REF!</v>
      </c>
      <c r="U34" s="89" t="e">
        <f>+T37</f>
        <v>#REF!</v>
      </c>
      <c r="V34" s="89" t="e">
        <f>+U37</f>
        <v>#REF!</v>
      </c>
      <c r="W34" s="89" t="e">
        <f>+V37</f>
        <v>#REF!</v>
      </c>
      <c r="X34" s="146"/>
      <c r="Y34" s="146"/>
    </row>
    <row r="35" spans="1:25" ht="18" hidden="1">
      <c r="A35" s="33" t="s">
        <v>203</v>
      </c>
      <c r="B35" s="89">
        <f aca="true" t="shared" si="8" ref="B35:G35">+B28</f>
        <v>114632.53548000008</v>
      </c>
      <c r="C35" s="89">
        <f t="shared" si="8"/>
        <v>-67449.63016000018</v>
      </c>
      <c r="D35" s="89">
        <f t="shared" si="8"/>
        <v>-368923.5045899991</v>
      </c>
      <c r="E35" s="89">
        <f t="shared" si="8"/>
        <v>1427003.9507299997</v>
      </c>
      <c r="F35" s="89">
        <f t="shared" si="8"/>
        <v>1399029.4152900018</v>
      </c>
      <c r="G35" s="89">
        <f t="shared" si="8"/>
        <v>-90494.4286099989</v>
      </c>
      <c r="H35" s="89">
        <f aca="true" t="shared" si="9" ref="H35:M35">+H28</f>
        <v>-170144.28007999994</v>
      </c>
      <c r="I35" s="89">
        <f t="shared" si="9"/>
        <v>-427501.03869999945</v>
      </c>
      <c r="J35" s="89">
        <f t="shared" si="9"/>
        <v>817613.5422887448</v>
      </c>
      <c r="K35" s="89">
        <f t="shared" si="9"/>
        <v>997550.326259058</v>
      </c>
      <c r="L35" s="89">
        <f t="shared" si="9"/>
        <v>201051.19066310488</v>
      </c>
      <c r="M35" s="89">
        <f t="shared" si="9"/>
        <v>-1209289.7693174481</v>
      </c>
      <c r="N35" s="89">
        <f>SUM(B35:M35)</f>
        <v>2623078.3092534635</v>
      </c>
      <c r="S35" s="89" t="e">
        <f>+#REF!</f>
        <v>#REF!</v>
      </c>
      <c r="T35" s="89">
        <f>+N35</f>
        <v>2623078.3092534635</v>
      </c>
      <c r="U35" s="89">
        <f>+N116</f>
        <v>1557745.0053555984</v>
      </c>
      <c r="V35" s="89">
        <f>+N206</f>
        <v>2408076.3478471674</v>
      </c>
      <c r="W35" s="89">
        <f>+N269</f>
        <v>327326.9872348979</v>
      </c>
      <c r="X35" s="146"/>
      <c r="Y35" s="146"/>
    </row>
    <row r="36" spans="1:25" ht="18" hidden="1">
      <c r="A36" s="33" t="s">
        <v>204</v>
      </c>
      <c r="B36" s="114">
        <v>-148534.23038999998</v>
      </c>
      <c r="C36" s="114">
        <v>-142137.12002</v>
      </c>
      <c r="D36" s="114">
        <v>-59483.29057499999</v>
      </c>
      <c r="E36" s="114">
        <v>-61284.587325</v>
      </c>
      <c r="F36" s="114">
        <v>-55443.400375000005</v>
      </c>
      <c r="G36" s="167">
        <v>-54266.886549999996</v>
      </c>
      <c r="H36" s="114">
        <v>-53886.019775</v>
      </c>
      <c r="I36" s="114">
        <v>-60597.05982499999</v>
      </c>
      <c r="J36" s="114">
        <v>-55955.518572391826</v>
      </c>
      <c r="K36" s="114">
        <v>-52511.17241420449</v>
      </c>
      <c r="L36" s="114">
        <v>-54679.67166701922</v>
      </c>
      <c r="M36" s="114">
        <v>-61471.655641808284</v>
      </c>
      <c r="N36" s="118">
        <f>SUM(B36:M36)</f>
        <v>-860250.6131304238</v>
      </c>
      <c r="S36" s="118" t="e">
        <f>+#REF!</f>
        <v>#REF!</v>
      </c>
      <c r="T36" s="118">
        <f>+N36</f>
        <v>-860250.6131304238</v>
      </c>
      <c r="U36" s="118">
        <f>+N117</f>
        <v>-3868134.599957707</v>
      </c>
      <c r="V36" s="118">
        <f>+N207</f>
        <v>-2786254.2061255956</v>
      </c>
      <c r="W36" s="118">
        <f>+N270</f>
        <v>-2028227.6388983158</v>
      </c>
      <c r="X36" s="146"/>
      <c r="Y36" s="146"/>
    </row>
    <row r="37" spans="1:25" ht="18" hidden="1">
      <c r="A37" s="33" t="s">
        <v>205</v>
      </c>
      <c r="B37" s="18">
        <f>SUM(B34:B36)</f>
        <v>2842702.30509</v>
      </c>
      <c r="C37" s="18">
        <f aca="true" t="shared" si="10" ref="C37:N37">SUM(C34:C36)</f>
        <v>2633115.55491</v>
      </c>
      <c r="D37" s="18">
        <f t="shared" si="10"/>
        <v>2204708.759745001</v>
      </c>
      <c r="E37" s="18">
        <f t="shared" si="10"/>
        <v>3570428.1231500003</v>
      </c>
      <c r="F37" s="18">
        <f t="shared" si="10"/>
        <v>4914014.138065002</v>
      </c>
      <c r="G37" s="18">
        <f t="shared" si="10"/>
        <v>4769252.822905003</v>
      </c>
      <c r="H37" s="18">
        <f t="shared" si="10"/>
        <v>4545222.523050003</v>
      </c>
      <c r="I37" s="18">
        <f t="shared" si="10"/>
        <v>4057124.4245250034</v>
      </c>
      <c r="J37" s="18">
        <f t="shared" si="10"/>
        <v>4818782.448241357</v>
      </c>
      <c r="K37" s="18">
        <f t="shared" si="10"/>
        <v>5763821.602086211</v>
      </c>
      <c r="L37" s="18">
        <f t="shared" si="10"/>
        <v>5910193.121082297</v>
      </c>
      <c r="M37" s="18">
        <f t="shared" si="10"/>
        <v>4639431.69612304</v>
      </c>
      <c r="N37" s="18">
        <f t="shared" si="10"/>
        <v>4639431.696123039</v>
      </c>
      <c r="S37" s="18" t="e">
        <f>SUM(S34:S36)</f>
        <v>#REF!</v>
      </c>
      <c r="T37" s="18" t="e">
        <f>SUM(T34:T36)</f>
        <v>#REF!</v>
      </c>
      <c r="U37" s="18" t="e">
        <f>SUM(U34:U36)</f>
        <v>#REF!</v>
      </c>
      <c r="V37" s="18" t="e">
        <f>SUM(V34:V36)</f>
        <v>#REF!</v>
      </c>
      <c r="W37" s="18" t="e">
        <f>SUM(W34:W36)</f>
        <v>#REF!</v>
      </c>
      <c r="X37" s="155"/>
      <c r="Y37" s="155"/>
    </row>
    <row r="38" spans="1:25" ht="18.75" hidden="1" thickBot="1">
      <c r="A38" s="33" t="s">
        <v>206</v>
      </c>
      <c r="B38" s="92">
        <f>+B32+B37</f>
        <v>2842702.30509</v>
      </c>
      <c r="C38" s="92">
        <f>+C32+C37</f>
        <v>2633115.55491</v>
      </c>
      <c r="D38" s="92">
        <f aca="true" t="shared" si="11" ref="D38:N38">+D32+D37</f>
        <v>2204708.759745001</v>
      </c>
      <c r="E38" s="92">
        <f t="shared" si="11"/>
        <v>3570428.1231500003</v>
      </c>
      <c r="F38" s="92">
        <f t="shared" si="11"/>
        <v>4914014.138065002</v>
      </c>
      <c r="G38" s="92">
        <f t="shared" si="11"/>
        <v>4769252.822905003</v>
      </c>
      <c r="H38" s="92">
        <f t="shared" si="11"/>
        <v>4545222.523050003</v>
      </c>
      <c r="I38" s="92">
        <f t="shared" si="11"/>
        <v>4057124.4245250034</v>
      </c>
      <c r="J38" s="92">
        <f t="shared" si="11"/>
        <v>4818782.448241357</v>
      </c>
      <c r="K38" s="92">
        <f t="shared" si="11"/>
        <v>5763821.602086211</v>
      </c>
      <c r="L38" s="92">
        <f t="shared" si="11"/>
        <v>5910193.121082297</v>
      </c>
      <c r="M38" s="92">
        <f t="shared" si="11"/>
        <v>4639431.69612304</v>
      </c>
      <c r="N38" s="92">
        <f t="shared" si="11"/>
        <v>4639431.696123039</v>
      </c>
      <c r="S38" s="92"/>
      <c r="T38" s="92"/>
      <c r="U38" s="92"/>
      <c r="V38" s="92"/>
      <c r="W38" s="92"/>
      <c r="X38" s="146"/>
      <c r="Y38" s="146"/>
    </row>
    <row r="39" spans="2:25" ht="7.5" customHeight="1" hidden="1" thickTop="1">
      <c r="B39" s="18"/>
      <c r="C39" s="18"/>
      <c r="D39" s="18"/>
      <c r="E39" s="18"/>
      <c r="F39" s="18"/>
      <c r="G39" s="18"/>
      <c r="H39" s="18"/>
      <c r="I39" s="18"/>
      <c r="J39" s="18"/>
      <c r="K39" s="18"/>
      <c r="X39" s="80"/>
      <c r="Y39" s="80"/>
    </row>
    <row r="40" spans="1:25" ht="18" hidden="1">
      <c r="A40" s="108" t="s">
        <v>188</v>
      </c>
      <c r="B40" s="18">
        <v>124818680.99999999</v>
      </c>
      <c r="C40" s="18">
        <v>119442958</v>
      </c>
      <c r="D40" s="18">
        <v>103449200.99999999</v>
      </c>
      <c r="E40" s="18">
        <v>106581891</v>
      </c>
      <c r="F40" s="18">
        <v>96423305.00000001</v>
      </c>
      <c r="G40" s="18">
        <v>94377194</v>
      </c>
      <c r="H40" s="18">
        <v>93714817</v>
      </c>
      <c r="I40" s="18">
        <v>105386190.99999999</v>
      </c>
      <c r="J40" s="18">
        <v>97313945.34329014</v>
      </c>
      <c r="K40" s="18">
        <v>91323778.11165999</v>
      </c>
      <c r="L40" s="18">
        <v>95095081.16003342</v>
      </c>
      <c r="M40" s="18">
        <v>106907227.20314485</v>
      </c>
      <c r="N40" s="89"/>
      <c r="S40" s="89"/>
      <c r="T40" s="89"/>
      <c r="U40" s="89"/>
      <c r="V40" s="89"/>
      <c r="W40" s="89"/>
      <c r="X40" s="146"/>
      <c r="Y40" s="146"/>
    </row>
    <row r="41" spans="1:25" ht="18" hidden="1">
      <c r="A41" s="108" t="s">
        <v>189</v>
      </c>
      <c r="B41" s="18">
        <v>12</v>
      </c>
      <c r="C41" s="18">
        <f>+B41</f>
        <v>12</v>
      </c>
      <c r="D41" s="18">
        <f aca="true" t="shared" si="12" ref="D41:M41">+C41</f>
        <v>12</v>
      </c>
      <c r="E41" s="18">
        <v>12</v>
      </c>
      <c r="F41" s="18">
        <f t="shared" si="12"/>
        <v>12</v>
      </c>
      <c r="G41" s="18">
        <f t="shared" si="12"/>
        <v>12</v>
      </c>
      <c r="H41" s="18">
        <f t="shared" si="12"/>
        <v>12</v>
      </c>
      <c r="I41" s="18">
        <f t="shared" si="12"/>
        <v>12</v>
      </c>
      <c r="J41" s="18">
        <f t="shared" si="12"/>
        <v>12</v>
      </c>
      <c r="K41" s="18">
        <f t="shared" si="12"/>
        <v>12</v>
      </c>
      <c r="L41">
        <f t="shared" si="12"/>
        <v>12</v>
      </c>
      <c r="M41">
        <f t="shared" si="12"/>
        <v>12</v>
      </c>
      <c r="X41" s="80"/>
      <c r="Y41" s="80"/>
    </row>
    <row r="42" spans="1:25" ht="18" hidden="1">
      <c r="A42" s="108" t="s">
        <v>190</v>
      </c>
      <c r="B42" s="18">
        <v>0.00119</v>
      </c>
      <c r="C42" s="18">
        <v>0.00119</v>
      </c>
      <c r="D42" s="18">
        <v>0.000575</v>
      </c>
      <c r="E42" s="18">
        <v>0.000575</v>
      </c>
      <c r="F42" s="18">
        <v>0.000575</v>
      </c>
      <c r="G42" s="18">
        <v>0.000575</v>
      </c>
      <c r="H42" s="18">
        <v>0.000575</v>
      </c>
      <c r="I42" s="18">
        <v>0.000575</v>
      </c>
      <c r="J42" s="18">
        <v>0.000575</v>
      </c>
      <c r="K42" s="18">
        <v>0.000575</v>
      </c>
      <c r="L42" s="112">
        <v>0.000575</v>
      </c>
      <c r="M42" s="112">
        <v>0.000575</v>
      </c>
      <c r="N42" s="89"/>
      <c r="S42" s="89"/>
      <c r="T42" s="89"/>
      <c r="U42" s="89"/>
      <c r="V42" s="89"/>
      <c r="W42" s="89"/>
      <c r="X42" s="146"/>
      <c r="Y42" s="146"/>
    </row>
    <row r="43" spans="1:25" ht="18" hidden="1">
      <c r="A43" s="108" t="s">
        <v>185</v>
      </c>
      <c r="B43" s="116">
        <v>148534.23038999998</v>
      </c>
      <c r="C43" s="116">
        <v>142137.12002</v>
      </c>
      <c r="D43" s="116">
        <v>59483.29057499999</v>
      </c>
      <c r="E43" s="116">
        <v>61284.587325</v>
      </c>
      <c r="F43" s="116">
        <v>55443.400375000005</v>
      </c>
      <c r="G43" s="116">
        <v>54266.886549999996</v>
      </c>
      <c r="H43" s="116">
        <v>53886.019775</v>
      </c>
      <c r="I43" s="116">
        <v>60597.05982499999</v>
      </c>
      <c r="J43" s="116">
        <v>55955.518572391826</v>
      </c>
      <c r="K43" s="116">
        <v>52511.17241420449</v>
      </c>
      <c r="L43" s="170">
        <v>54679.67166701922</v>
      </c>
      <c r="M43" s="170">
        <v>61471.655641808284</v>
      </c>
      <c r="X43" s="80"/>
      <c r="Y43" s="80"/>
    </row>
    <row r="44" spans="1:25" ht="18" hidden="1">
      <c r="A44" s="108" t="s">
        <v>186</v>
      </c>
      <c r="B44" s="167">
        <v>0</v>
      </c>
      <c r="C44" s="167">
        <v>0</v>
      </c>
      <c r="D44" s="114">
        <f aca="true" t="shared" si="13" ref="D44:M44">-D31/B40</f>
        <v>0</v>
      </c>
      <c r="E44" s="114">
        <f t="shared" si="13"/>
        <v>0</v>
      </c>
      <c r="F44" s="114">
        <f t="shared" si="13"/>
        <v>0</v>
      </c>
      <c r="G44" s="114">
        <f t="shared" si="13"/>
        <v>0</v>
      </c>
      <c r="H44" s="114">
        <f t="shared" si="13"/>
        <v>0</v>
      </c>
      <c r="I44" s="114">
        <f t="shared" si="13"/>
        <v>0</v>
      </c>
      <c r="J44" s="114">
        <f t="shared" si="13"/>
        <v>0</v>
      </c>
      <c r="K44" s="114">
        <f t="shared" si="13"/>
        <v>0</v>
      </c>
      <c r="L44" s="119">
        <f t="shared" si="13"/>
        <v>0</v>
      </c>
      <c r="M44" s="119">
        <f t="shared" si="13"/>
        <v>0</v>
      </c>
      <c r="X44" s="80"/>
      <c r="Y44" s="80"/>
    </row>
    <row r="45" spans="1:25" ht="18" hidden="1">
      <c r="A45" s="108" t="s">
        <v>191</v>
      </c>
      <c r="B45" s="18">
        <f aca="true" t="shared" si="14" ref="B45:M45">SUM(B43:B44)</f>
        <v>148534.23038999998</v>
      </c>
      <c r="C45" s="18">
        <f t="shared" si="14"/>
        <v>142137.12002</v>
      </c>
      <c r="D45" s="18">
        <f t="shared" si="14"/>
        <v>59483.29057499999</v>
      </c>
      <c r="E45" s="18">
        <f t="shared" si="14"/>
        <v>61284.587325</v>
      </c>
      <c r="F45" s="18">
        <f t="shared" si="14"/>
        <v>55443.400375000005</v>
      </c>
      <c r="G45" s="18">
        <f t="shared" si="14"/>
        <v>54266.886549999996</v>
      </c>
      <c r="H45" s="18">
        <f t="shared" si="14"/>
        <v>53886.019775</v>
      </c>
      <c r="I45" s="18">
        <f t="shared" si="14"/>
        <v>60597.05982499999</v>
      </c>
      <c r="J45" s="18">
        <f t="shared" si="14"/>
        <v>55955.518572391826</v>
      </c>
      <c r="K45" s="18">
        <f t="shared" si="14"/>
        <v>52511.17241420449</v>
      </c>
      <c r="L45" s="171">
        <f t="shared" si="14"/>
        <v>54679.67166701922</v>
      </c>
      <c r="M45" s="171">
        <f t="shared" si="14"/>
        <v>61471.655641808284</v>
      </c>
      <c r="X45" s="80"/>
      <c r="Y45" s="80"/>
    </row>
    <row r="46" spans="1:25" ht="14.25" hidden="1">
      <c r="A46" s="10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71"/>
      <c r="M46" s="171"/>
      <c r="X46" s="80"/>
      <c r="Y46" s="80"/>
    </row>
    <row r="47" spans="1:25" ht="18.75" hidden="1" thickBot="1">
      <c r="A47" s="33" t="s">
        <v>207</v>
      </c>
      <c r="B47" s="106">
        <v>0.7735000000000001</v>
      </c>
      <c r="C47" s="106">
        <v>0.7735000000000001</v>
      </c>
      <c r="D47" s="106">
        <v>0.37374999999999997</v>
      </c>
      <c r="E47" s="106">
        <v>0.37374999999999997</v>
      </c>
      <c r="F47" s="106">
        <v>0.37374999999999997</v>
      </c>
      <c r="G47" s="106">
        <v>0.37374999999999997</v>
      </c>
      <c r="H47" s="106">
        <v>0.37374999999999997</v>
      </c>
      <c r="I47" s="106">
        <v>0.37374999999999997</v>
      </c>
      <c r="J47" s="106">
        <v>0.37374999999999997</v>
      </c>
      <c r="K47" s="106">
        <v>0.37374999999999997</v>
      </c>
      <c r="L47" s="106">
        <v>0.37374999999999997</v>
      </c>
      <c r="M47" s="106">
        <v>0.37374999999999997</v>
      </c>
      <c r="N47" s="106">
        <f>SUM(B47:M47)</f>
        <v>5.2845</v>
      </c>
      <c r="S47" s="106"/>
      <c r="T47" s="106"/>
      <c r="U47" s="106"/>
      <c r="V47" s="106"/>
      <c r="W47" s="106"/>
      <c r="X47" s="109"/>
      <c r="Y47" s="109"/>
    </row>
    <row r="48" spans="1:25" ht="7.5" customHeight="1" hidden="1" thickTop="1">
      <c r="A48" s="110">
        <v>10000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S48" s="109"/>
      <c r="T48" s="109"/>
      <c r="U48" s="109"/>
      <c r="V48" s="109"/>
      <c r="W48" s="109"/>
      <c r="X48" s="109"/>
      <c r="Y48" s="109"/>
    </row>
    <row r="49" spans="1:25" ht="18.75" hidden="1" thickBot="1">
      <c r="A49" s="108" t="s">
        <v>187</v>
      </c>
      <c r="B49" s="106">
        <v>11.9</v>
      </c>
      <c r="C49" s="106">
        <v>11.9</v>
      </c>
      <c r="D49" s="106">
        <v>5.75</v>
      </c>
      <c r="E49" s="106">
        <v>5.75</v>
      </c>
      <c r="F49" s="106">
        <v>5.75</v>
      </c>
      <c r="G49" s="106">
        <v>5.75</v>
      </c>
      <c r="H49" s="106">
        <v>5.75</v>
      </c>
      <c r="I49" s="106">
        <v>5.75</v>
      </c>
      <c r="J49" s="106">
        <v>5.75</v>
      </c>
      <c r="K49" s="106">
        <v>5.75</v>
      </c>
      <c r="L49" s="106">
        <v>5.75</v>
      </c>
      <c r="M49" s="106">
        <v>5.75</v>
      </c>
      <c r="N49" s="106">
        <f>SUM(B49:M49)</f>
        <v>81.3</v>
      </c>
      <c r="S49" s="106"/>
      <c r="T49" s="106"/>
      <c r="U49" s="106"/>
      <c r="V49" s="106"/>
      <c r="W49" s="106"/>
      <c r="X49" s="109"/>
      <c r="Y49" s="109"/>
    </row>
    <row r="50" spans="1:25" ht="13.5" hidden="1" thickTop="1">
      <c r="A50" s="105">
        <v>650</v>
      </c>
      <c r="X50" s="80"/>
      <c r="Y50" s="80"/>
    </row>
    <row r="51" spans="1:25" ht="12.75" hidden="1">
      <c r="A51" s="105"/>
      <c r="X51" s="80"/>
      <c r="Y51" s="80"/>
    </row>
    <row r="52" spans="1:25" ht="18" hidden="1">
      <c r="A52" s="33" t="s">
        <v>179</v>
      </c>
      <c r="B52" s="18">
        <v>124818680.99999999</v>
      </c>
      <c r="C52" s="18">
        <v>119442958</v>
      </c>
      <c r="D52" s="18">
        <v>103449200.99999999</v>
      </c>
      <c r="E52" s="18">
        <v>106581891</v>
      </c>
      <c r="F52" s="18">
        <v>96423305.00000001</v>
      </c>
      <c r="G52" s="18">
        <v>94377194</v>
      </c>
      <c r="H52" s="18">
        <v>93714817</v>
      </c>
      <c r="I52" s="18">
        <v>105386190.99999999</v>
      </c>
      <c r="J52" s="18">
        <v>97313945.34329014</v>
      </c>
      <c r="K52" s="18">
        <v>91323778.11165999</v>
      </c>
      <c r="L52" s="18">
        <v>95095081.16003342</v>
      </c>
      <c r="M52" s="18">
        <v>106907227.20314485</v>
      </c>
      <c r="N52" s="89">
        <f>SUM(B52:M52)</f>
        <v>1234834269.8181283</v>
      </c>
      <c r="S52" s="89"/>
      <c r="T52" s="89"/>
      <c r="U52" s="89"/>
      <c r="V52" s="89"/>
      <c r="W52" s="89"/>
      <c r="X52" s="146"/>
      <c r="Y52" s="146"/>
    </row>
    <row r="53" spans="1:25" ht="18" hidden="1">
      <c r="A53" s="33" t="s">
        <v>180</v>
      </c>
      <c r="B53" s="113">
        <v>0.9270370608701283</v>
      </c>
      <c r="C53" s="113">
        <v>0.9270370608701283</v>
      </c>
      <c r="D53" s="113">
        <v>0.9270370608701283</v>
      </c>
      <c r="E53" s="113">
        <v>0.9270370608701283</v>
      </c>
      <c r="F53" s="113">
        <v>0.9270370608701283</v>
      </c>
      <c r="G53" s="113">
        <v>0.9270370608701283</v>
      </c>
      <c r="H53" s="113">
        <v>0.9270370608701283</v>
      </c>
      <c r="I53" s="113">
        <v>0.9270370608701283</v>
      </c>
      <c r="J53" s="113">
        <v>0.9270370608701283</v>
      </c>
      <c r="K53" s="113">
        <v>0.9270370608701283</v>
      </c>
      <c r="L53" s="113">
        <v>0.9270370608701283</v>
      </c>
      <c r="M53" s="113">
        <v>0.9270370608701283</v>
      </c>
      <c r="N53" s="113">
        <v>0.9270370608701283</v>
      </c>
      <c r="S53" s="113"/>
      <c r="T53" s="113"/>
      <c r="U53" s="113"/>
      <c r="V53" s="113"/>
      <c r="W53" s="113"/>
      <c r="X53" s="156"/>
      <c r="Y53" s="156"/>
    </row>
    <row r="54" spans="1:25" ht="18" hidden="1">
      <c r="A54" s="33" t="s">
        <v>181</v>
      </c>
      <c r="B54" s="18">
        <f>+B52/B53</f>
        <v>134642600.8932627</v>
      </c>
      <c r="C54" s="18">
        <f aca="true" t="shared" si="15" ref="C54:M54">+C52/C53</f>
        <v>128843778.78904797</v>
      </c>
      <c r="D54" s="18">
        <f t="shared" si="15"/>
        <v>111591224.73798545</v>
      </c>
      <c r="E54" s="18">
        <f t="shared" si="15"/>
        <v>114970474.75098886</v>
      </c>
      <c r="F54" s="18">
        <f t="shared" si="15"/>
        <v>104012351.9004687</v>
      </c>
      <c r="G54" s="18">
        <f t="shared" si="15"/>
        <v>101805200.65877023</v>
      </c>
      <c r="H54" s="18">
        <f t="shared" si="15"/>
        <v>101090690.92883745</v>
      </c>
      <c r="I54" s="18">
        <f t="shared" si="15"/>
        <v>113680666.55402452</v>
      </c>
      <c r="J54" s="18">
        <f t="shared" si="15"/>
        <v>104973090.56010132</v>
      </c>
      <c r="K54" s="18">
        <f t="shared" si="15"/>
        <v>98511464.0680518</v>
      </c>
      <c r="L54" s="18">
        <f t="shared" si="15"/>
        <v>102579589.50505821</v>
      </c>
      <c r="M54" s="18">
        <f t="shared" si="15"/>
        <v>115321416.71100013</v>
      </c>
      <c r="N54" s="89">
        <f>SUM(B54:M54)</f>
        <v>1332022550.0575974</v>
      </c>
      <c r="S54" s="89"/>
      <c r="T54" s="89"/>
      <c r="U54" s="89"/>
      <c r="V54" s="89"/>
      <c r="W54" s="89"/>
      <c r="X54" s="146"/>
      <c r="Y54" s="146"/>
    </row>
    <row r="55" spans="1:25" ht="18" hidden="1">
      <c r="A55" s="33" t="s">
        <v>182</v>
      </c>
      <c r="B55" s="114">
        <f>+B24</f>
        <v>135583129</v>
      </c>
      <c r="C55" s="114">
        <f aca="true" t="shared" si="16" ref="C55:N55">+C24</f>
        <v>110433582</v>
      </c>
      <c r="D55" s="114">
        <f t="shared" si="16"/>
        <v>119954419</v>
      </c>
      <c r="E55" s="114">
        <f t="shared" si="16"/>
        <v>103593807</v>
      </c>
      <c r="F55" s="114">
        <f t="shared" si="16"/>
        <v>99856711</v>
      </c>
      <c r="G55" s="114">
        <f t="shared" si="16"/>
        <v>97868701</v>
      </c>
      <c r="H55" s="114">
        <f t="shared" si="16"/>
        <v>110198528</v>
      </c>
      <c r="I55" s="114">
        <f t="shared" si="16"/>
        <v>112669670</v>
      </c>
      <c r="J55" s="114">
        <f t="shared" si="16"/>
        <v>97126406.64381605</v>
      </c>
      <c r="K55" s="114">
        <f t="shared" si="16"/>
        <v>101270272.79553576</v>
      </c>
      <c r="L55" s="114">
        <f t="shared" si="16"/>
        <v>110741113.24322961</v>
      </c>
      <c r="M55" s="114">
        <f t="shared" si="16"/>
        <v>132726210.37501621</v>
      </c>
      <c r="N55" s="114">
        <f t="shared" si="16"/>
        <v>1332022550.0575976</v>
      </c>
      <c r="S55" s="114"/>
      <c r="T55" s="114"/>
      <c r="U55" s="114"/>
      <c r="V55" s="114"/>
      <c r="W55" s="114"/>
      <c r="X55" s="155"/>
      <c r="Y55" s="155"/>
    </row>
    <row r="56" spans="1:25" ht="18" hidden="1">
      <c r="A56" s="33" t="s">
        <v>17</v>
      </c>
      <c r="B56" s="18">
        <f>+B54-B55</f>
        <v>-940528.1067372859</v>
      </c>
      <c r="C56" s="18">
        <f aca="true" t="shared" si="17" ref="C56:N56">+C54-C55</f>
        <v>18410196.78904797</v>
      </c>
      <c r="D56" s="18">
        <f t="shared" si="17"/>
        <v>-8363194.262014553</v>
      </c>
      <c r="E56" s="18">
        <f t="shared" si="17"/>
        <v>11376667.750988856</v>
      </c>
      <c r="F56" s="18">
        <f t="shared" si="17"/>
        <v>4155640.900468707</v>
      </c>
      <c r="G56" s="18">
        <f t="shared" si="17"/>
        <v>3936499.6587702334</v>
      </c>
      <c r="H56" s="18">
        <f t="shared" si="17"/>
        <v>-9107837.071162552</v>
      </c>
      <c r="I56" s="18">
        <f t="shared" si="17"/>
        <v>1010996.5540245175</v>
      </c>
      <c r="J56" s="18">
        <f t="shared" si="17"/>
        <v>7846683.9162852615</v>
      </c>
      <c r="K56" s="18">
        <f t="shared" si="17"/>
        <v>-2758808.727483958</v>
      </c>
      <c r="L56" s="18">
        <f t="shared" si="17"/>
        <v>-8161523.738171399</v>
      </c>
      <c r="M56" s="18">
        <f t="shared" si="17"/>
        <v>-17404793.664016083</v>
      </c>
      <c r="N56" s="18">
        <f t="shared" si="17"/>
        <v>0</v>
      </c>
      <c r="S56" s="18"/>
      <c r="T56" s="18"/>
      <c r="U56" s="18"/>
      <c r="V56" s="18"/>
      <c r="W56" s="18"/>
      <c r="X56" s="155"/>
      <c r="Y56" s="155"/>
    </row>
    <row r="57" spans="1:25" ht="18" hidden="1">
      <c r="A57" s="33" t="s">
        <v>183</v>
      </c>
      <c r="B57" s="97">
        <f>+B25</f>
        <v>0.08988</v>
      </c>
      <c r="C57" s="97">
        <f aca="true" t="shared" si="18" ref="C57:N57">+C25</f>
        <v>0.08988</v>
      </c>
      <c r="D57" s="97">
        <f t="shared" si="18"/>
        <v>0.09161</v>
      </c>
      <c r="E57" s="97">
        <f t="shared" si="18"/>
        <v>0.09161</v>
      </c>
      <c r="F57" s="97">
        <f t="shared" si="18"/>
        <v>0.09161</v>
      </c>
      <c r="G57" s="97">
        <f t="shared" si="18"/>
        <v>0.09161</v>
      </c>
      <c r="H57" s="97">
        <f t="shared" si="18"/>
        <v>0.09161</v>
      </c>
      <c r="I57" s="97">
        <f t="shared" si="18"/>
        <v>0.09161</v>
      </c>
      <c r="J57" s="97">
        <f t="shared" si="18"/>
        <v>0.09161</v>
      </c>
      <c r="K57" s="97">
        <f t="shared" si="18"/>
        <v>0.09161</v>
      </c>
      <c r="L57" s="97">
        <f t="shared" si="18"/>
        <v>0.09161</v>
      </c>
      <c r="M57" s="97">
        <f t="shared" si="18"/>
        <v>0.09161</v>
      </c>
      <c r="N57" s="97">
        <f t="shared" si="18"/>
        <v>0.0912904792005874</v>
      </c>
      <c r="S57" s="97"/>
      <c r="T57" s="97"/>
      <c r="U57" s="97"/>
      <c r="V57" s="97"/>
      <c r="W57" s="97"/>
      <c r="X57" s="80"/>
      <c r="Y57" s="80"/>
    </row>
    <row r="58" spans="1:25" ht="18" hidden="1">
      <c r="A58" s="33" t="s">
        <v>184</v>
      </c>
      <c r="B58" s="157">
        <f>+B56*B57</f>
        <v>-84534.66623354725</v>
      </c>
      <c r="C58" s="157">
        <f aca="true" t="shared" si="19" ref="C58:N58">+C56*C57</f>
        <v>1654708.4873996316</v>
      </c>
      <c r="D58" s="157">
        <f t="shared" si="19"/>
        <v>-766152.2263431532</v>
      </c>
      <c r="E58" s="157">
        <f t="shared" si="19"/>
        <v>1042216.532668089</v>
      </c>
      <c r="F58" s="157">
        <f t="shared" si="19"/>
        <v>380698.26289193827</v>
      </c>
      <c r="G58" s="157">
        <f t="shared" si="19"/>
        <v>360622.7337399411</v>
      </c>
      <c r="H58" s="157">
        <f t="shared" si="19"/>
        <v>-834368.9540892013</v>
      </c>
      <c r="I58" s="157">
        <f t="shared" si="19"/>
        <v>92617.39431418605</v>
      </c>
      <c r="J58" s="157">
        <f t="shared" si="19"/>
        <v>718834.7135708928</v>
      </c>
      <c r="K58" s="157">
        <f t="shared" si="19"/>
        <v>-252734.4675248054</v>
      </c>
      <c r="L58" s="157">
        <f t="shared" si="19"/>
        <v>-747677.1896538818</v>
      </c>
      <c r="M58" s="157">
        <f t="shared" si="19"/>
        <v>-1594453.1475605133</v>
      </c>
      <c r="N58" s="157">
        <f t="shared" si="19"/>
        <v>0</v>
      </c>
      <c r="S58" s="157"/>
      <c r="T58" s="157"/>
      <c r="U58" s="157"/>
      <c r="V58" s="157"/>
      <c r="W58" s="157"/>
      <c r="X58" s="155"/>
      <c r="Y58" s="155"/>
    </row>
    <row r="59" spans="1:25" ht="14.25" hidden="1">
      <c r="A59" s="140" t="s">
        <v>208</v>
      </c>
      <c r="B59" s="157">
        <v>0</v>
      </c>
      <c r="C59" s="157">
        <v>0</v>
      </c>
      <c r="D59" s="157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8">
        <f>+M59</f>
        <v>0</v>
      </c>
      <c r="O59" s="103"/>
      <c r="P59" s="103"/>
      <c r="Q59" s="103"/>
      <c r="R59" s="103"/>
      <c r="S59" s="158" t="e">
        <f>+S32</f>
        <v>#REF!</v>
      </c>
      <c r="T59" s="158" t="e">
        <f>+T32</f>
        <v>#REF!</v>
      </c>
      <c r="U59" s="158" t="e">
        <f>+U32</f>
        <v>#REF!</v>
      </c>
      <c r="V59" s="158" t="e">
        <f>+V32</f>
        <v>#REF!</v>
      </c>
      <c r="W59" s="158" t="e">
        <f>+W32</f>
        <v>#REF!</v>
      </c>
      <c r="X59" s="146"/>
      <c r="Y59" s="146"/>
    </row>
    <row r="60" spans="1:25" ht="14.25" hidden="1">
      <c r="A60" s="108" t="s">
        <v>209</v>
      </c>
      <c r="B60" s="89">
        <f>+B38-B59</f>
        <v>2842702.30509</v>
      </c>
      <c r="C60" s="89">
        <f aca="true" t="shared" si="20" ref="C60:M60">+C38-C59</f>
        <v>2633115.55491</v>
      </c>
      <c r="D60" s="89">
        <f t="shared" si="20"/>
        <v>2204708.759745001</v>
      </c>
      <c r="E60" s="89">
        <f t="shared" si="20"/>
        <v>3570428.1231500003</v>
      </c>
      <c r="F60" s="89">
        <f t="shared" si="20"/>
        <v>4914014.138065002</v>
      </c>
      <c r="G60" s="89">
        <f t="shared" si="20"/>
        <v>4769252.822905003</v>
      </c>
      <c r="H60" s="89">
        <f t="shared" si="20"/>
        <v>4545222.523050003</v>
      </c>
      <c r="I60" s="89">
        <f t="shared" si="20"/>
        <v>4057124.4245250034</v>
      </c>
      <c r="J60" s="89">
        <f t="shared" si="20"/>
        <v>4818782.448241357</v>
      </c>
      <c r="K60" s="89">
        <f t="shared" si="20"/>
        <v>5763821.602086211</v>
      </c>
      <c r="L60" s="89">
        <f t="shared" si="20"/>
        <v>5910193.121082297</v>
      </c>
      <c r="M60" s="89">
        <f t="shared" si="20"/>
        <v>4639431.69612304</v>
      </c>
      <c r="N60" s="89">
        <f>+M60</f>
        <v>4639431.69612304</v>
      </c>
      <c r="S60" s="89" t="e">
        <f>+S37</f>
        <v>#REF!</v>
      </c>
      <c r="T60" s="89" t="e">
        <f>+T37</f>
        <v>#REF!</v>
      </c>
      <c r="U60" s="89" t="e">
        <f>+U37</f>
        <v>#REF!</v>
      </c>
      <c r="V60" s="89" t="e">
        <f>+V37</f>
        <v>#REF!</v>
      </c>
      <c r="W60" s="89" t="e">
        <f>+W37</f>
        <v>#REF!</v>
      </c>
      <c r="X60" s="146"/>
      <c r="Y60" s="146"/>
    </row>
    <row r="61" spans="1:25" ht="16.5" customHeight="1" hidden="1">
      <c r="A61" s="108" t="s">
        <v>210</v>
      </c>
      <c r="B61" s="88">
        <f>SUM(B59:B60)</f>
        <v>2842702.30509</v>
      </c>
      <c r="C61" s="88">
        <f aca="true" t="shared" si="21" ref="C61:N61">SUM(C59:C60)</f>
        <v>2633115.55491</v>
      </c>
      <c r="D61" s="88">
        <f t="shared" si="21"/>
        <v>2204708.759745001</v>
      </c>
      <c r="E61" s="88">
        <f t="shared" si="21"/>
        <v>3570428.1231500003</v>
      </c>
      <c r="F61" s="88">
        <f t="shared" si="21"/>
        <v>4914014.138065002</v>
      </c>
      <c r="G61" s="88">
        <f t="shared" si="21"/>
        <v>4769252.822905003</v>
      </c>
      <c r="H61" s="88">
        <f t="shared" si="21"/>
        <v>4545222.523050003</v>
      </c>
      <c r="I61" s="88">
        <f t="shared" si="21"/>
        <v>4057124.4245250034</v>
      </c>
      <c r="J61" s="88">
        <f t="shared" si="21"/>
        <v>4818782.448241357</v>
      </c>
      <c r="K61" s="88">
        <f t="shared" si="21"/>
        <v>5763821.602086211</v>
      </c>
      <c r="L61" s="88">
        <f t="shared" si="21"/>
        <v>5910193.121082297</v>
      </c>
      <c r="M61" s="88">
        <f t="shared" si="21"/>
        <v>4639431.69612304</v>
      </c>
      <c r="N61" s="88">
        <f t="shared" si="21"/>
        <v>4639431.69612304</v>
      </c>
      <c r="S61" s="88" t="e">
        <f>SUM(S59:S60)</f>
        <v>#REF!</v>
      </c>
      <c r="T61" s="88" t="e">
        <f>SUM(T59:T60)</f>
        <v>#REF!</v>
      </c>
      <c r="U61" s="88" t="e">
        <f>SUM(U59:U60)</f>
        <v>#REF!</v>
      </c>
      <c r="V61" s="88" t="e">
        <f>SUM(V59:V60)</f>
        <v>#REF!</v>
      </c>
      <c r="W61" s="88" t="e">
        <f>SUM(W59:W60)</f>
        <v>#REF!</v>
      </c>
      <c r="X61" s="146"/>
      <c r="Y61" s="146"/>
    </row>
    <row r="62" spans="1:25" ht="16.5" customHeight="1" hidden="1">
      <c r="A62" s="8"/>
      <c r="X62" s="80"/>
      <c r="Y62" s="80"/>
    </row>
    <row r="63" spans="1:14" ht="16.5" customHeight="1" hidden="1">
      <c r="A63" s="8"/>
      <c r="N63" s="89"/>
    </row>
    <row r="64" ht="16.5" customHeight="1" hidden="1">
      <c r="A64" s="8"/>
    </row>
    <row r="65" ht="16.5" customHeight="1" hidden="1">
      <c r="A65" s="8"/>
    </row>
    <row r="66" ht="16.5" customHeight="1" hidden="1">
      <c r="A66" s="8"/>
    </row>
    <row r="67" ht="16.5" customHeight="1" hidden="1">
      <c r="A67" s="8"/>
    </row>
    <row r="68" ht="16.5" customHeight="1" hidden="1">
      <c r="A68" s="8"/>
    </row>
    <row r="69" ht="16.5" customHeight="1" hidden="1">
      <c r="A69" s="8"/>
    </row>
    <row r="70" ht="16.5" customHeight="1" hidden="1">
      <c r="A70" s="8"/>
    </row>
    <row r="71" ht="16.5" customHeight="1" hidden="1">
      <c r="A71" s="8"/>
    </row>
    <row r="72" ht="16.5" customHeight="1" hidden="1">
      <c r="A72" s="8"/>
    </row>
    <row r="73" ht="16.5" customHeight="1" hidden="1">
      <c r="A73" s="8"/>
    </row>
    <row r="74" ht="16.5" customHeight="1" hidden="1">
      <c r="A74" s="8"/>
    </row>
    <row r="75" ht="16.5" customHeight="1" hidden="1">
      <c r="A75" s="8"/>
    </row>
    <row r="76" ht="16.5" customHeight="1" hidden="1">
      <c r="A76" s="8"/>
    </row>
    <row r="77" ht="16.5" customHeight="1" hidden="1">
      <c r="A77" s="8"/>
    </row>
    <row r="78" ht="16.5" customHeight="1" hidden="1">
      <c r="A78" s="8"/>
    </row>
    <row r="79" ht="16.5" customHeight="1" hidden="1">
      <c r="A79" s="8"/>
    </row>
    <row r="80" ht="16.5" customHeight="1" hidden="1">
      <c r="A80" s="8"/>
    </row>
    <row r="81" ht="16.5" customHeight="1" hidden="1">
      <c r="A81" s="8"/>
    </row>
    <row r="82" ht="16.5" customHeight="1" hidden="1">
      <c r="A82" s="8"/>
    </row>
    <row r="83" ht="16.5" customHeight="1" hidden="1">
      <c r="A83" s="8"/>
    </row>
    <row r="84" spans="1:8" ht="16.5" customHeight="1" hidden="1">
      <c r="A84" s="8"/>
      <c r="H84" s="89"/>
    </row>
    <row r="85" ht="16.5" customHeight="1" hidden="1">
      <c r="A85" s="8"/>
    </row>
    <row r="86" ht="16.5" customHeight="1" hidden="1">
      <c r="A86" s="8"/>
    </row>
    <row r="87" ht="16.5" customHeight="1" hidden="1">
      <c r="A87" s="8"/>
    </row>
    <row r="88" ht="16.5" customHeight="1" hidden="1">
      <c r="A88" s="8"/>
    </row>
    <row r="89" ht="12.75" hidden="1"/>
    <row r="90" ht="12.75" hidden="1"/>
    <row r="91" spans="1:14" ht="18">
      <c r="A91" s="87" t="str">
        <f aca="true" t="shared" si="22" ref="A91:A96">+A10</f>
        <v>Energy Cost Adjustment Mechanism</v>
      </c>
      <c r="B91" s="123">
        <f aca="true" t="shared" si="23" ref="B91:M91">+B10+365</f>
        <v>43496</v>
      </c>
      <c r="C91" s="123">
        <f t="shared" si="23"/>
        <v>43524</v>
      </c>
      <c r="D91" s="123">
        <f t="shared" si="23"/>
        <v>43553</v>
      </c>
      <c r="E91" s="123">
        <f t="shared" si="23"/>
        <v>43582</v>
      </c>
      <c r="F91" s="123">
        <f t="shared" si="23"/>
        <v>43611</v>
      </c>
      <c r="G91" s="123">
        <f t="shared" si="23"/>
        <v>43640</v>
      </c>
      <c r="H91" s="123">
        <f t="shared" si="23"/>
        <v>43669</v>
      </c>
      <c r="I91" s="123">
        <f t="shared" si="23"/>
        <v>43698</v>
      </c>
      <c r="J91" s="123">
        <f t="shared" si="23"/>
        <v>43727</v>
      </c>
      <c r="K91" s="123">
        <f t="shared" si="23"/>
        <v>43756</v>
      </c>
      <c r="L91" s="123">
        <f t="shared" si="23"/>
        <v>43785</v>
      </c>
      <c r="M91" s="123">
        <f t="shared" si="23"/>
        <v>43814</v>
      </c>
      <c r="N91" s="123" t="s">
        <v>109</v>
      </c>
    </row>
    <row r="92" spans="1:14" ht="18">
      <c r="A92" s="33" t="str">
        <f t="shared" si="22"/>
        <v>Purchased Energy Costs</v>
      </c>
      <c r="B92" s="18">
        <f>+B100-SUM(B93:B99)</f>
        <v>6922291.497907246</v>
      </c>
      <c r="C92" s="18">
        <f aca="true" t="shared" si="24" ref="C92:M92">+C100-SUM(C93:C99)</f>
        <v>6607082.201346692</v>
      </c>
      <c r="D92" s="18">
        <f t="shared" si="24"/>
        <v>6789420.555910444</v>
      </c>
      <c r="E92" s="18">
        <f t="shared" si="24"/>
        <v>6817174.276753787</v>
      </c>
      <c r="F92" s="18">
        <f t="shared" si="24"/>
        <v>5617290.135921469</v>
      </c>
      <c r="G92" s="18">
        <f t="shared" si="24"/>
        <v>5548280.355570773</v>
      </c>
      <c r="H92" s="18">
        <f t="shared" si="24"/>
        <v>6564372.354722125</v>
      </c>
      <c r="I92" s="18">
        <f t="shared" si="24"/>
        <v>6305013.918883747</v>
      </c>
      <c r="J92" s="18">
        <f t="shared" si="24"/>
        <v>5280489.628186168</v>
      </c>
      <c r="K92" s="18">
        <f t="shared" si="24"/>
        <v>4895224.882584209</v>
      </c>
      <c r="L92" s="18">
        <f t="shared" si="24"/>
        <v>5891329.832467513</v>
      </c>
      <c r="M92" s="18">
        <f t="shared" si="24"/>
        <v>7699426.118682779</v>
      </c>
      <c r="N92" s="89">
        <f aca="true" t="shared" si="25" ref="N92:N99">SUM(B92:M92)</f>
        <v>74937395.75893694</v>
      </c>
    </row>
    <row r="93" spans="1:14" ht="18">
      <c r="A93" s="33" t="str">
        <f t="shared" si="22"/>
        <v>Lepreau Energy Costs</v>
      </c>
      <c r="B93" s="116">
        <v>2104479.7737680417</v>
      </c>
      <c r="C93" s="116">
        <v>2044495.3229209706</v>
      </c>
      <c r="D93" s="116">
        <v>2106770.1547915535</v>
      </c>
      <c r="E93" s="116">
        <v>1603398.571859957</v>
      </c>
      <c r="F93" s="116">
        <v>1994372.191178119</v>
      </c>
      <c r="G93" s="116">
        <v>2069107.345748016</v>
      </c>
      <c r="H93" s="116">
        <v>2074263.1999134123</v>
      </c>
      <c r="I93" s="116">
        <v>2070819.1717801052</v>
      </c>
      <c r="J93" s="116">
        <v>2051786.200364137</v>
      </c>
      <c r="K93" s="116">
        <v>2069398.0144067125</v>
      </c>
      <c r="L93" s="116">
        <v>2049415.6018638068</v>
      </c>
      <c r="M93" s="116">
        <v>2081884.7442167276</v>
      </c>
      <c r="N93" s="89">
        <f t="shared" si="25"/>
        <v>24320190.292811558</v>
      </c>
    </row>
    <row r="94" spans="1:14" ht="18" hidden="1">
      <c r="A94" s="33" t="str">
        <f t="shared" si="22"/>
        <v>Dalhousie Energy Costs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89">
        <f t="shared" si="25"/>
        <v>0</v>
      </c>
    </row>
    <row r="95" spans="1:14" ht="18" customHeight="1">
      <c r="A95" s="33" t="str">
        <f t="shared" si="22"/>
        <v>Generation Fuel Costs-PEI Plants</v>
      </c>
      <c r="B95" s="116">
        <v>156665.43948654385</v>
      </c>
      <c r="C95" s="116">
        <v>75315.09872177924</v>
      </c>
      <c r="D95" s="116">
        <v>75315.09872177924</v>
      </c>
      <c r="E95" s="116">
        <v>38849.499375</v>
      </c>
      <c r="F95" s="116">
        <v>38849.499375</v>
      </c>
      <c r="G95" s="116">
        <v>6000</v>
      </c>
      <c r="H95" s="116">
        <v>37256.228011525076</v>
      </c>
      <c r="I95" s="116">
        <v>37256.228011525076</v>
      </c>
      <c r="J95" s="116">
        <v>42465.59934677925</v>
      </c>
      <c r="K95" s="116">
        <v>38849.499375</v>
      </c>
      <c r="L95" s="116">
        <v>85839.31779117954</v>
      </c>
      <c r="M95" s="116">
        <v>156665.43948654385</v>
      </c>
      <c r="N95" s="89">
        <f t="shared" si="25"/>
        <v>789326.9477026551</v>
      </c>
    </row>
    <row r="96" spans="1:14" ht="18">
      <c r="A96" s="33" t="str">
        <f t="shared" si="22"/>
        <v>PEI Plant Operating Costs</v>
      </c>
      <c r="B96" s="18">
        <v>319765.9986152023</v>
      </c>
      <c r="C96" s="18">
        <v>319765.9986152023</v>
      </c>
      <c r="D96" s="18">
        <v>319765.9986152023</v>
      </c>
      <c r="E96" s="18">
        <v>319765.9986152023</v>
      </c>
      <c r="F96" s="18">
        <v>319765.9986152023</v>
      </c>
      <c r="G96" s="18">
        <v>319765.9986152023</v>
      </c>
      <c r="H96" s="18">
        <v>319765.9986152023</v>
      </c>
      <c r="I96" s="18">
        <v>319765.9986152023</v>
      </c>
      <c r="J96" s="18">
        <v>319765.9986152023</v>
      </c>
      <c r="K96" s="18">
        <v>319765.9986152023</v>
      </c>
      <c r="L96" s="18">
        <v>319765.9986152023</v>
      </c>
      <c r="M96" s="18">
        <v>319765.9986152023</v>
      </c>
      <c r="N96" s="89">
        <f t="shared" si="25"/>
        <v>3837191.9833824285</v>
      </c>
    </row>
    <row r="97" spans="1:14" ht="18">
      <c r="A97" s="159" t="s">
        <v>216</v>
      </c>
      <c r="B97" s="116">
        <v>-74106.6975</v>
      </c>
      <c r="C97" s="116">
        <v>-74106.6975</v>
      </c>
      <c r="D97" s="116">
        <v>-74106.6975</v>
      </c>
      <c r="E97" s="116">
        <v>-74106.6975</v>
      </c>
      <c r="F97" s="116">
        <v>-74106.6975</v>
      </c>
      <c r="G97" s="116">
        <v>-74106.6975</v>
      </c>
      <c r="H97" s="116">
        <v>-74106.6975</v>
      </c>
      <c r="I97" s="116">
        <v>-74106.6975</v>
      </c>
      <c r="J97" s="116">
        <v>-74106.6975</v>
      </c>
      <c r="K97" s="116">
        <v>-74106.6975</v>
      </c>
      <c r="L97" s="116">
        <v>-74106.6975</v>
      </c>
      <c r="M97" s="116">
        <v>-74106.6975</v>
      </c>
      <c r="N97" s="168">
        <f t="shared" si="25"/>
        <v>-889280.37</v>
      </c>
    </row>
    <row r="98" spans="1:14" ht="18">
      <c r="A98" s="33" t="str">
        <f>+A17</f>
        <v>Amortization - Pt Lepreau Deferred Charge &amp; DSM</v>
      </c>
      <c r="B98" s="18">
        <v>21700</v>
      </c>
      <c r="C98" s="18">
        <v>21700</v>
      </c>
      <c r="D98" s="18">
        <v>21700</v>
      </c>
      <c r="E98" s="18">
        <v>21700</v>
      </c>
      <c r="F98" s="18">
        <v>21700</v>
      </c>
      <c r="G98" s="18">
        <v>21700</v>
      </c>
      <c r="H98" s="18">
        <v>21700</v>
      </c>
      <c r="I98" s="18">
        <v>21700</v>
      </c>
      <c r="J98" s="18">
        <v>21700</v>
      </c>
      <c r="K98" s="18">
        <v>21700</v>
      </c>
      <c r="L98" s="18">
        <v>21700</v>
      </c>
      <c r="M98" s="18">
        <v>21700</v>
      </c>
      <c r="N98" s="89">
        <f t="shared" si="25"/>
        <v>260400</v>
      </c>
    </row>
    <row r="99" spans="1:14" ht="18">
      <c r="A99" s="33" t="str">
        <f>+A18</f>
        <v>Renewable Energy Costs</v>
      </c>
      <c r="B99" s="18">
        <v>2493266.1940405113</v>
      </c>
      <c r="C99" s="18">
        <v>1877735.5909760387</v>
      </c>
      <c r="D99" s="18">
        <v>2559194.6571920128</v>
      </c>
      <c r="E99" s="18">
        <v>2028087.0978981429</v>
      </c>
      <c r="F99" s="18">
        <v>1959690.0890858057</v>
      </c>
      <c r="G99" s="18">
        <v>1824851.6907549282</v>
      </c>
      <c r="H99" s="18">
        <v>1173754.2591102794</v>
      </c>
      <c r="I99" s="18">
        <v>1486127.0803932988</v>
      </c>
      <c r="J99" s="18">
        <v>2046812.2419346878</v>
      </c>
      <c r="K99" s="18">
        <v>2767282.33192692</v>
      </c>
      <c r="L99" s="18">
        <v>2689450.48494515</v>
      </c>
      <c r="M99" s="18">
        <v>2382172.0416659573</v>
      </c>
      <c r="N99" s="89">
        <f t="shared" si="25"/>
        <v>25288423.759923734</v>
      </c>
    </row>
    <row r="100" spans="1:15" ht="18">
      <c r="A100" s="33"/>
      <c r="B100" s="88">
        <v>11944062.206317546</v>
      </c>
      <c r="C100" s="88">
        <v>10871987.515080683</v>
      </c>
      <c r="D100" s="88">
        <v>11798059.767730992</v>
      </c>
      <c r="E100" s="88">
        <v>10754868.74700209</v>
      </c>
      <c r="F100" s="88">
        <v>9877561.216675596</v>
      </c>
      <c r="G100" s="88">
        <v>9715598.693188919</v>
      </c>
      <c r="H100" s="88">
        <v>10117005.342872545</v>
      </c>
      <c r="I100" s="88">
        <v>10166575.70018388</v>
      </c>
      <c r="J100" s="88">
        <v>9688912.970946975</v>
      </c>
      <c r="K100" s="88">
        <v>10038114.029408043</v>
      </c>
      <c r="L100" s="88">
        <v>10983394.538182853</v>
      </c>
      <c r="M100" s="88">
        <v>12587507.645167211</v>
      </c>
      <c r="N100" s="88">
        <v>128543648.37275733</v>
      </c>
      <c r="O100" s="89">
        <v>128543648.37275726</v>
      </c>
    </row>
    <row r="101" ht="8.25" customHeight="1">
      <c r="A101" s="33"/>
    </row>
    <row r="102" spans="1:14" ht="18" hidden="1">
      <c r="A102" s="33" t="str">
        <f>+A21</f>
        <v>Current Month Replacement Energy Costs</v>
      </c>
      <c r="B102" s="114">
        <v>0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38">
        <f>SUM(B102:M102)</f>
        <v>0</v>
      </c>
    </row>
    <row r="103" spans="1:14" ht="18" hidden="1">
      <c r="A103" s="33" t="str">
        <f>+A22</f>
        <v>Total Energy Costs - Incl Pt Lepreau Replacement</v>
      </c>
      <c r="B103" s="18">
        <f>+B100+B102</f>
        <v>11944062.206317546</v>
      </c>
      <c r="C103" s="18">
        <f aca="true" t="shared" si="26" ref="C103:M103">+C100+C102</f>
        <v>10871987.515080683</v>
      </c>
      <c r="D103" s="18">
        <f t="shared" si="26"/>
        <v>11798059.767730992</v>
      </c>
      <c r="E103" s="18">
        <f t="shared" si="26"/>
        <v>10754868.74700209</v>
      </c>
      <c r="F103" s="18">
        <f t="shared" si="26"/>
        <v>9877561.216675596</v>
      </c>
      <c r="G103" s="18">
        <f t="shared" si="26"/>
        <v>9715598.693188919</v>
      </c>
      <c r="H103" s="18">
        <f t="shared" si="26"/>
        <v>10117005.342872545</v>
      </c>
      <c r="I103" s="18">
        <f t="shared" si="26"/>
        <v>10166575.70018388</v>
      </c>
      <c r="J103" s="18">
        <f t="shared" si="26"/>
        <v>9688912.970946975</v>
      </c>
      <c r="K103" s="18">
        <f t="shared" si="26"/>
        <v>10038114.029408043</v>
      </c>
      <c r="L103" s="18">
        <f t="shared" si="26"/>
        <v>10983394.538182853</v>
      </c>
      <c r="M103" s="18">
        <f t="shared" si="26"/>
        <v>12587507.645167211</v>
      </c>
      <c r="N103" s="137">
        <f>SUM(B103:M103)</f>
        <v>128543648.37275733</v>
      </c>
    </row>
    <row r="104" ht="18" hidden="1">
      <c r="A104" s="33"/>
    </row>
    <row r="105" spans="1:15" ht="18">
      <c r="A105" s="33" t="str">
        <f>+A24</f>
        <v>Net Purchased &amp; Produced Energy - kWh (NPP)</v>
      </c>
      <c r="B105" s="18">
        <v>133226295.1647004</v>
      </c>
      <c r="C105" s="18">
        <v>119699960.60987325</v>
      </c>
      <c r="D105" s="18">
        <v>126670133.00726679</v>
      </c>
      <c r="E105" s="18">
        <v>104682589.17634971</v>
      </c>
      <c r="F105" s="18">
        <v>104839593.05961955</v>
      </c>
      <c r="G105" s="18">
        <v>101394507.85029088</v>
      </c>
      <c r="H105" s="18">
        <v>108537684.52670151</v>
      </c>
      <c r="I105" s="18">
        <v>108781690.561847</v>
      </c>
      <c r="J105" s="18">
        <v>100480485.24322952</v>
      </c>
      <c r="K105" s="18">
        <v>104770591.35295954</v>
      </c>
      <c r="L105" s="18">
        <v>114569833.72341283</v>
      </c>
      <c r="M105" s="18">
        <v>137381397.93531305</v>
      </c>
      <c r="N105" s="89">
        <f>SUM(B105:M105)</f>
        <v>1365034762.2115638</v>
      </c>
      <c r="O105" s="89">
        <v>128543648.37275733</v>
      </c>
    </row>
    <row r="106" spans="1:15" ht="18">
      <c r="A106" s="33" t="str">
        <f>+A25</f>
        <v>Base Rate/kWh</v>
      </c>
      <c r="B106" s="147">
        <v>0.09161</v>
      </c>
      <c r="C106" s="147">
        <v>0.09161</v>
      </c>
      <c r="D106" s="147">
        <v>0.09334999999999999</v>
      </c>
      <c r="E106" s="147">
        <v>0.09334999999999999</v>
      </c>
      <c r="F106" s="147">
        <v>0.09334999999999999</v>
      </c>
      <c r="G106" s="147">
        <v>0.09334999999999999</v>
      </c>
      <c r="H106" s="147">
        <v>0.09334999999999999</v>
      </c>
      <c r="I106" s="147">
        <v>0.09334999999999999</v>
      </c>
      <c r="J106" s="147">
        <v>0.09334999999999999</v>
      </c>
      <c r="K106" s="147">
        <v>0.09334999999999999</v>
      </c>
      <c r="L106" s="147">
        <v>0.09334999999999999</v>
      </c>
      <c r="M106" s="147">
        <v>0.09334999999999999</v>
      </c>
      <c r="N106" s="149">
        <f>+N107/N105</f>
        <v>0.09302759671970935</v>
      </c>
      <c r="O106" s="89">
        <f>+O100-N100</f>
        <v>0</v>
      </c>
    </row>
    <row r="107" spans="1:14" ht="18">
      <c r="A107" s="33" t="str">
        <f>+A26</f>
        <v>Base Energy Costs </v>
      </c>
      <c r="B107" s="90">
        <f aca="true" t="shared" si="27" ref="B107:M107">+B105*B106</f>
        <v>12204860.900038203</v>
      </c>
      <c r="C107" s="90">
        <f t="shared" si="27"/>
        <v>10965713.391470488</v>
      </c>
      <c r="D107" s="90">
        <f t="shared" si="27"/>
        <v>11824656.916228354</v>
      </c>
      <c r="E107" s="90">
        <f t="shared" si="27"/>
        <v>9772119.699612245</v>
      </c>
      <c r="F107" s="90">
        <f t="shared" si="27"/>
        <v>9786776.012115484</v>
      </c>
      <c r="G107" s="90">
        <f t="shared" si="27"/>
        <v>9465177.307824653</v>
      </c>
      <c r="H107" s="90">
        <f t="shared" si="27"/>
        <v>10131992.850567585</v>
      </c>
      <c r="I107" s="90">
        <f t="shared" si="27"/>
        <v>10154770.813948417</v>
      </c>
      <c r="J107" s="90">
        <f t="shared" si="27"/>
        <v>9379853.297455475</v>
      </c>
      <c r="K107" s="90">
        <f t="shared" si="27"/>
        <v>9780334.702798773</v>
      </c>
      <c r="L107" s="90">
        <f t="shared" si="27"/>
        <v>10695093.978080586</v>
      </c>
      <c r="M107" s="90">
        <f t="shared" si="27"/>
        <v>12824553.497261472</v>
      </c>
      <c r="N107" s="88">
        <f>SUM(B107:M107)</f>
        <v>126985903.36740172</v>
      </c>
    </row>
    <row r="108" ht="6" customHeight="1">
      <c r="A108" s="33"/>
    </row>
    <row r="109" spans="1:14" ht="18.75" thickBot="1">
      <c r="A109" s="33" t="s">
        <v>198</v>
      </c>
      <c r="B109" s="91">
        <f>+B103-B107</f>
        <v>-260798.69372065738</v>
      </c>
      <c r="C109" s="91">
        <f aca="true" t="shared" si="28" ref="C109:N109">+C103-C107</f>
        <v>-93725.87638980523</v>
      </c>
      <c r="D109" s="91">
        <f t="shared" si="28"/>
        <v>-26597.14849736169</v>
      </c>
      <c r="E109" s="91">
        <f t="shared" si="28"/>
        <v>982749.0473898444</v>
      </c>
      <c r="F109" s="91">
        <f t="shared" si="28"/>
        <v>90785.20456011221</v>
      </c>
      <c r="G109" s="91">
        <f t="shared" si="28"/>
        <v>250421.3853642661</v>
      </c>
      <c r="H109" s="91">
        <f t="shared" si="28"/>
        <v>-14987.507695039734</v>
      </c>
      <c r="I109" s="91">
        <f t="shared" si="28"/>
        <v>11804.886235462502</v>
      </c>
      <c r="J109" s="91">
        <f t="shared" si="28"/>
        <v>309059.6734915003</v>
      </c>
      <c r="K109" s="91">
        <f t="shared" si="28"/>
        <v>257779.32660927065</v>
      </c>
      <c r="L109" s="91">
        <f t="shared" si="28"/>
        <v>288300.5601022672</v>
      </c>
      <c r="M109" s="91">
        <f t="shared" si="28"/>
        <v>-237045.85209426098</v>
      </c>
      <c r="N109" s="91">
        <f t="shared" si="28"/>
        <v>1557745.0053556114</v>
      </c>
    </row>
    <row r="110" ht="9.75" customHeight="1" thickTop="1"/>
    <row r="111" spans="1:14" ht="18" customHeight="1" hidden="1">
      <c r="A111" s="33" t="str">
        <f>+A30</f>
        <v>Opening Balance - Pt Lepreau Replacement Costs</v>
      </c>
      <c r="B111" s="89">
        <f>+N32</f>
        <v>0</v>
      </c>
      <c r="C111" s="89">
        <f>+B113</f>
        <v>0</v>
      </c>
      <c r="D111" s="89">
        <f aca="true" t="shared" si="29" ref="D111:M111">+C113</f>
        <v>0</v>
      </c>
      <c r="E111" s="89">
        <f t="shared" si="29"/>
        <v>0</v>
      </c>
      <c r="F111" s="89">
        <f t="shared" si="29"/>
        <v>0</v>
      </c>
      <c r="G111" s="89">
        <f t="shared" si="29"/>
        <v>0</v>
      </c>
      <c r="H111" s="89">
        <f t="shared" si="29"/>
        <v>0</v>
      </c>
      <c r="I111" s="89">
        <f t="shared" si="29"/>
        <v>0</v>
      </c>
      <c r="J111" s="89">
        <f t="shared" si="29"/>
        <v>0</v>
      </c>
      <c r="K111" s="89">
        <f t="shared" si="29"/>
        <v>0</v>
      </c>
      <c r="L111" s="89">
        <f t="shared" si="29"/>
        <v>0</v>
      </c>
      <c r="M111" s="89">
        <f t="shared" si="29"/>
        <v>0</v>
      </c>
      <c r="N111" s="89">
        <f>+B111</f>
        <v>0</v>
      </c>
    </row>
    <row r="112" spans="1:14" ht="18" customHeight="1" hidden="1">
      <c r="A112" s="33" t="str">
        <f>+A31</f>
        <v>Additions (Reductions)</v>
      </c>
      <c r="B112" s="114">
        <f>-B102</f>
        <v>0</v>
      </c>
      <c r="C112" s="114">
        <f>-C102</f>
        <v>0</v>
      </c>
      <c r="D112" s="114">
        <f>-D102</f>
        <v>0</v>
      </c>
      <c r="E112" s="114">
        <f aca="true" t="shared" si="30" ref="E112:M112">-E102</f>
        <v>0</v>
      </c>
      <c r="F112" s="114">
        <f t="shared" si="30"/>
        <v>0</v>
      </c>
      <c r="G112" s="114">
        <f t="shared" si="30"/>
        <v>0</v>
      </c>
      <c r="H112" s="114">
        <f t="shared" si="30"/>
        <v>0</v>
      </c>
      <c r="I112" s="114">
        <f t="shared" si="30"/>
        <v>0</v>
      </c>
      <c r="J112" s="114">
        <f t="shared" si="30"/>
        <v>0</v>
      </c>
      <c r="K112" s="114">
        <f t="shared" si="30"/>
        <v>0</v>
      </c>
      <c r="L112" s="114">
        <f t="shared" si="30"/>
        <v>0</v>
      </c>
      <c r="M112" s="114">
        <f t="shared" si="30"/>
        <v>0</v>
      </c>
      <c r="N112" s="114">
        <f>SUM(B112:M112)</f>
        <v>0</v>
      </c>
    </row>
    <row r="113" spans="1:14" ht="18" customHeight="1" hidden="1">
      <c r="A113" s="33" t="str">
        <f>+A32</f>
        <v>Closing Balance - Pt Lepreau Replacement Costs</v>
      </c>
      <c r="B113" s="89">
        <f>+B111+B112</f>
        <v>0</v>
      </c>
      <c r="C113" s="89">
        <f aca="true" t="shared" si="31" ref="C113:M113">+C111+C112</f>
        <v>0</v>
      </c>
      <c r="D113" s="89">
        <f t="shared" si="31"/>
        <v>0</v>
      </c>
      <c r="E113" s="89">
        <f t="shared" si="31"/>
        <v>0</v>
      </c>
      <c r="F113" s="89">
        <f t="shared" si="31"/>
        <v>0</v>
      </c>
      <c r="G113" s="89">
        <f t="shared" si="31"/>
        <v>0</v>
      </c>
      <c r="H113" s="89">
        <f t="shared" si="31"/>
        <v>0</v>
      </c>
      <c r="I113" s="89">
        <f t="shared" si="31"/>
        <v>0</v>
      </c>
      <c r="J113" s="89">
        <f t="shared" si="31"/>
        <v>0</v>
      </c>
      <c r="K113" s="89">
        <f t="shared" si="31"/>
        <v>0</v>
      </c>
      <c r="L113" s="89">
        <f t="shared" si="31"/>
        <v>0</v>
      </c>
      <c r="M113" s="89">
        <f t="shared" si="31"/>
        <v>0</v>
      </c>
      <c r="N113" s="89">
        <f>+N111+N112</f>
        <v>0</v>
      </c>
    </row>
    <row r="114" ht="6" customHeight="1" hidden="1"/>
    <row r="115" spans="1:14" ht="18">
      <c r="A115" s="33" t="s">
        <v>217</v>
      </c>
      <c r="B115" s="18">
        <f>+M37</f>
        <v>4639431.69612304</v>
      </c>
      <c r="C115" s="89">
        <f>+B118</f>
        <v>4308208.160441185</v>
      </c>
      <c r="D115" s="89">
        <f aca="true" t="shared" si="32" ref="D115:M115">+C118</f>
        <v>4144734.6141835432</v>
      </c>
      <c r="E115" s="89">
        <f t="shared" si="32"/>
        <v>3712614.137162477</v>
      </c>
      <c r="F115" s="89">
        <f t="shared" si="32"/>
        <v>4295662.462062598</v>
      </c>
      <c r="G115" s="89">
        <f t="shared" si="32"/>
        <v>4024056.1114940466</v>
      </c>
      <c r="H115" s="89">
        <f t="shared" si="32"/>
        <v>3929945.345224418</v>
      </c>
      <c r="I115" s="89">
        <f t="shared" si="32"/>
        <v>3562962.6117437417</v>
      </c>
      <c r="J115" s="89">
        <f t="shared" si="32"/>
        <v>3204543.472832113</v>
      </c>
      <c r="K115" s="89">
        <f t="shared" si="32"/>
        <v>3146280.436068653</v>
      </c>
      <c r="L115" s="89">
        <f t="shared" si="32"/>
        <v>3059362.06083628</v>
      </c>
      <c r="M115" s="89">
        <f t="shared" si="32"/>
        <v>2988311.6945622503</v>
      </c>
      <c r="N115" s="89">
        <f>+B115</f>
        <v>4639431.69612304</v>
      </c>
    </row>
    <row r="116" spans="1:14" ht="18">
      <c r="A116" s="33" t="str">
        <f>+A35</f>
        <v>Additions/(Reductions)</v>
      </c>
      <c r="B116" s="89">
        <f>+B109</f>
        <v>-260798.69372065738</v>
      </c>
      <c r="C116" s="89">
        <f aca="true" t="shared" si="33" ref="C116:M116">+C109</f>
        <v>-93725.87638980523</v>
      </c>
      <c r="D116" s="89">
        <f t="shared" si="33"/>
        <v>-26597.14849736169</v>
      </c>
      <c r="E116" s="89">
        <f t="shared" si="33"/>
        <v>982749.0473898444</v>
      </c>
      <c r="F116" s="89">
        <f t="shared" si="33"/>
        <v>90785.20456011221</v>
      </c>
      <c r="G116" s="89">
        <f t="shared" si="33"/>
        <v>250421.3853642661</v>
      </c>
      <c r="H116" s="89">
        <f t="shared" si="33"/>
        <v>-14987.507695039734</v>
      </c>
      <c r="I116" s="89">
        <f t="shared" si="33"/>
        <v>11804.886235462502</v>
      </c>
      <c r="J116" s="89">
        <f t="shared" si="33"/>
        <v>309059.6734915003</v>
      </c>
      <c r="K116" s="89">
        <f t="shared" si="33"/>
        <v>257779.32660927065</v>
      </c>
      <c r="L116" s="89">
        <f t="shared" si="33"/>
        <v>288300.5601022672</v>
      </c>
      <c r="M116" s="89">
        <f t="shared" si="33"/>
        <v>-237045.85209426098</v>
      </c>
      <c r="N116" s="89">
        <f>SUM(B116:M116)</f>
        <v>1557745.0053555984</v>
      </c>
    </row>
    <row r="117" spans="1:14" ht="18">
      <c r="A117" s="33" t="str">
        <f>+A36</f>
        <v>Rebated/(Collected) From Ratepayer</v>
      </c>
      <c r="B117" s="114">
        <v>-70424.84196119777</v>
      </c>
      <c r="C117" s="114">
        <v>-69747.66986783704</v>
      </c>
      <c r="D117" s="114">
        <v>-405523.32852370455</v>
      </c>
      <c r="E117" s="114">
        <v>-399700.7224897231</v>
      </c>
      <c r="F117" s="114">
        <v>-362391.55512866366</v>
      </c>
      <c r="G117" s="114">
        <v>-344532.15163389454</v>
      </c>
      <c r="H117" s="114">
        <v>-351995.225785637</v>
      </c>
      <c r="I117" s="114">
        <v>-370224.02514709125</v>
      </c>
      <c r="J117" s="114">
        <v>-367322.71025496005</v>
      </c>
      <c r="K117" s="114">
        <v>-344697.7018416435</v>
      </c>
      <c r="L117" s="114">
        <v>-359350.926376297</v>
      </c>
      <c r="M117" s="114">
        <v>-422223.7409470571</v>
      </c>
      <c r="N117" s="118">
        <f>SUM(B117:M117)</f>
        <v>-3868134.599957707</v>
      </c>
    </row>
    <row r="118" spans="1:14" ht="18.75" thickBot="1">
      <c r="A118" s="33" t="s">
        <v>218</v>
      </c>
      <c r="B118" s="115">
        <f>SUM(B115:B117)</f>
        <v>4308208.160441185</v>
      </c>
      <c r="C118" s="115">
        <f aca="true" t="shared" si="34" ref="C118:N118">SUM(C115:C117)</f>
        <v>4144734.6141835432</v>
      </c>
      <c r="D118" s="115">
        <f t="shared" si="34"/>
        <v>3712614.137162477</v>
      </c>
      <c r="E118" s="115">
        <f t="shared" si="34"/>
        <v>4295662.462062598</v>
      </c>
      <c r="F118" s="115">
        <f t="shared" si="34"/>
        <v>4024056.1114940466</v>
      </c>
      <c r="G118" s="115">
        <f t="shared" si="34"/>
        <v>3929945.345224418</v>
      </c>
      <c r="H118" s="115">
        <f t="shared" si="34"/>
        <v>3562962.6117437417</v>
      </c>
      <c r="I118" s="115">
        <f t="shared" si="34"/>
        <v>3204543.472832113</v>
      </c>
      <c r="J118" s="115">
        <f t="shared" si="34"/>
        <v>3146280.436068653</v>
      </c>
      <c r="K118" s="115">
        <f t="shared" si="34"/>
        <v>3059362.06083628</v>
      </c>
      <c r="L118" s="115">
        <f t="shared" si="34"/>
        <v>2988311.6945622503</v>
      </c>
      <c r="M118" s="115">
        <f t="shared" si="34"/>
        <v>2329042.1015209323</v>
      </c>
      <c r="N118" s="115">
        <f t="shared" si="34"/>
        <v>2329042.101520932</v>
      </c>
    </row>
    <row r="119" spans="1:14" ht="19.5" hidden="1" thickBot="1" thickTop="1">
      <c r="A119" s="33" t="str">
        <f>+A38</f>
        <v>General Ledger Closing Balance</v>
      </c>
      <c r="B119" s="169">
        <f>+B113+B118</f>
        <v>4308208.160441185</v>
      </c>
      <c r="C119" s="169">
        <f aca="true" t="shared" si="35" ref="C119:N119">+C113+C118</f>
        <v>4144734.6141835432</v>
      </c>
      <c r="D119" s="169">
        <f t="shared" si="35"/>
        <v>3712614.137162477</v>
      </c>
      <c r="E119" s="169">
        <f t="shared" si="35"/>
        <v>4295662.462062598</v>
      </c>
      <c r="F119" s="169">
        <f t="shared" si="35"/>
        <v>4024056.1114940466</v>
      </c>
      <c r="G119" s="169">
        <f t="shared" si="35"/>
        <v>3929945.345224418</v>
      </c>
      <c r="H119" s="169">
        <f t="shared" si="35"/>
        <v>3562962.6117437417</v>
      </c>
      <c r="I119" s="169">
        <f t="shared" si="35"/>
        <v>3204543.472832113</v>
      </c>
      <c r="J119" s="169">
        <f t="shared" si="35"/>
        <v>3146280.436068653</v>
      </c>
      <c r="K119" s="169">
        <f t="shared" si="35"/>
        <v>3059362.06083628</v>
      </c>
      <c r="L119" s="169">
        <f t="shared" si="35"/>
        <v>2988311.6945622503</v>
      </c>
      <c r="M119" s="169">
        <f t="shared" si="35"/>
        <v>2329042.1015209323</v>
      </c>
      <c r="N119" s="169">
        <f t="shared" si="35"/>
        <v>2329042.101520932</v>
      </c>
    </row>
    <row r="120" ht="9" customHeight="1" thickTop="1"/>
    <row r="121" spans="1:14" ht="18.75" thickBot="1">
      <c r="A121" s="33" t="s">
        <v>211</v>
      </c>
      <c r="B121" s="106">
        <v>0.3737499999999999</v>
      </c>
      <c r="C121" s="106">
        <v>0.37374999999999997</v>
      </c>
      <c r="D121" s="106">
        <v>2.3682008981888307</v>
      </c>
      <c r="E121" s="106">
        <v>2.3682008981888307</v>
      </c>
      <c r="F121" s="106">
        <v>2.3682008981888307</v>
      </c>
      <c r="G121" s="106">
        <v>2.3682008981888307</v>
      </c>
      <c r="H121" s="106">
        <v>2.3682008981888307</v>
      </c>
      <c r="I121" s="106">
        <v>2.3682008981888307</v>
      </c>
      <c r="J121" s="106">
        <v>2.3682008981888307</v>
      </c>
      <c r="K121" s="106">
        <v>2.3682008981888307</v>
      </c>
      <c r="L121" s="106">
        <v>2.3682008981888307</v>
      </c>
      <c r="M121" s="106">
        <v>2.3682008981888307</v>
      </c>
      <c r="N121" s="107">
        <f>SUM(B121:M121)</f>
        <v>24.42950898188831</v>
      </c>
    </row>
    <row r="122" ht="9.75" customHeight="1" hidden="1" thickTop="1">
      <c r="A122" s="111"/>
    </row>
    <row r="123" spans="1:14" ht="18.75" hidden="1" thickBot="1">
      <c r="A123" s="33" t="s">
        <v>212</v>
      </c>
      <c r="B123" s="106">
        <v>5.749999999999999</v>
      </c>
      <c r="C123" s="106">
        <v>5.75</v>
      </c>
      <c r="D123" s="106">
        <v>36.433859972135856</v>
      </c>
      <c r="E123" s="106">
        <v>36.433859972135856</v>
      </c>
      <c r="F123" s="106">
        <v>36.433859972135856</v>
      </c>
      <c r="G123" s="106">
        <v>36.433859972135856</v>
      </c>
      <c r="H123" s="106">
        <v>36.433859972135856</v>
      </c>
      <c r="I123" s="106">
        <v>36.433859972135856</v>
      </c>
      <c r="J123" s="106">
        <v>36.433859972135856</v>
      </c>
      <c r="K123" s="106">
        <v>36.433859972135856</v>
      </c>
      <c r="L123" s="106">
        <v>36.433859972135856</v>
      </c>
      <c r="M123" s="106">
        <v>36.433859972135856</v>
      </c>
      <c r="N123" s="107">
        <f>SUM(B123:M123)</f>
        <v>375.83859972135855</v>
      </c>
    </row>
    <row r="124" spans="1:14" ht="18.75" hidden="1" thickTop="1">
      <c r="A124" s="33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72"/>
    </row>
    <row r="125" spans="1:14" ht="14.25" hidden="1">
      <c r="A125" s="108" t="str">
        <f>+A60</f>
        <v>Regular ECAM</v>
      </c>
      <c r="B125" s="133" t="e">
        <f>+B119-#REF!</f>
        <v>#REF!</v>
      </c>
      <c r="C125" s="133" t="e">
        <f>+C119-#REF!</f>
        <v>#REF!</v>
      </c>
      <c r="D125" s="133" t="e">
        <f>+D119-#REF!</f>
        <v>#REF!</v>
      </c>
      <c r="E125" s="133" t="e">
        <f>+E119-#REF!</f>
        <v>#REF!</v>
      </c>
      <c r="F125" s="133" t="e">
        <f>+F119-#REF!</f>
        <v>#REF!</v>
      </c>
      <c r="G125" s="133" t="e">
        <f>+G119-#REF!</f>
        <v>#REF!</v>
      </c>
      <c r="H125" s="133" t="e">
        <f>+H119-#REF!</f>
        <v>#REF!</v>
      </c>
      <c r="I125" s="133" t="e">
        <f>+I119-#REF!</f>
        <v>#REF!</v>
      </c>
      <c r="J125" s="133" t="e">
        <f>+J119-#REF!</f>
        <v>#REF!</v>
      </c>
      <c r="K125" s="133" t="e">
        <f>+K119-#REF!</f>
        <v>#REF!</v>
      </c>
      <c r="L125" s="133" t="e">
        <f>+L119-#REF!</f>
        <v>#REF!</v>
      </c>
      <c r="M125" s="133" t="e">
        <f>+M119-#REF!</f>
        <v>#REF!</v>
      </c>
      <c r="N125" s="133" t="e">
        <f>+N119-#REF!</f>
        <v>#REF!</v>
      </c>
    </row>
    <row r="126" spans="1:14" ht="14.25" hidden="1">
      <c r="A126" s="108" t="str">
        <f>+A61</f>
        <v>Total ECAM</v>
      </c>
      <c r="B126" s="134" t="e">
        <f aca="true" t="shared" si="36" ref="B126:N126">SUM(B125:B125)</f>
        <v>#REF!</v>
      </c>
      <c r="C126" s="134" t="e">
        <f t="shared" si="36"/>
        <v>#REF!</v>
      </c>
      <c r="D126" s="134" t="e">
        <f t="shared" si="36"/>
        <v>#REF!</v>
      </c>
      <c r="E126" s="134" t="e">
        <f t="shared" si="36"/>
        <v>#REF!</v>
      </c>
      <c r="F126" s="134" t="e">
        <f t="shared" si="36"/>
        <v>#REF!</v>
      </c>
      <c r="G126" s="134" t="e">
        <f t="shared" si="36"/>
        <v>#REF!</v>
      </c>
      <c r="H126" s="134" t="e">
        <f t="shared" si="36"/>
        <v>#REF!</v>
      </c>
      <c r="I126" s="134" t="e">
        <f t="shared" si="36"/>
        <v>#REF!</v>
      </c>
      <c r="J126" s="134" t="e">
        <f t="shared" si="36"/>
        <v>#REF!</v>
      </c>
      <c r="K126" s="134" t="e">
        <f t="shared" si="36"/>
        <v>#REF!</v>
      </c>
      <c r="L126" s="134" t="e">
        <f t="shared" si="36"/>
        <v>#REF!</v>
      </c>
      <c r="M126" s="134" t="e">
        <f t="shared" si="36"/>
        <v>#REF!</v>
      </c>
      <c r="N126" s="134" t="e">
        <f t="shared" si="36"/>
        <v>#REF!</v>
      </c>
    </row>
    <row r="127" spans="2:14" ht="12.75" hidden="1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2.75" hidden="1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2.75" hidden="1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2.75" hidden="1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2.75" hidden="1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2.75" hidden="1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2.75" hidden="1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  <row r="134" spans="2:14" ht="12.75" hidden="1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</row>
    <row r="135" spans="2:14" ht="12.75" hidden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2:14" ht="12.75" hidden="1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</row>
    <row r="137" spans="2:14" ht="12.75" hidden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2:14" ht="12.75" hidden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</row>
    <row r="139" spans="2:14" ht="12.75" hidden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2:14" ht="12.75" hidden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2:14" ht="12.75" hidden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2:14" ht="12.75" hidden="1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2:14" ht="12.75" hidden="1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2:14" ht="12.75" hidden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2:14" ht="12.75" hidden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2:14" ht="12.75" hidden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2:14" ht="12.75" hidden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2:14" ht="12.75" hidden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</row>
    <row r="149" spans="2:14" ht="12.75" hidden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 ht="12.75" hidden="1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2:14" ht="12.75" hidden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2:14" ht="12.75" hidden="1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2:14" ht="12.75" hidden="1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2:14" ht="12.75" hidden="1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2:14" ht="12.75" hidden="1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2:14" ht="12.75" hidden="1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2:14" ht="12.75" hidden="1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2:14" ht="12.75" hidden="1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2:14" ht="12.75" hidden="1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</row>
    <row r="160" spans="2:14" ht="12.75" hidden="1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</row>
    <row r="161" spans="2:14" ht="12.75" hidden="1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 ht="12.75" hidden="1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2:14" ht="12.75" hidden="1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2:14" ht="12.75" hidden="1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</row>
    <row r="165" spans="2:14" ht="12.75" hidden="1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2:14" ht="12.75" hidden="1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</row>
    <row r="167" spans="2:14" ht="12.75" hidden="1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2:14" ht="12.75" hidden="1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2:14" ht="12.75" hidden="1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2:14" ht="12.75" hidden="1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2:14" ht="12.75" hidden="1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2:14" ht="12.75" hidden="1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</row>
    <row r="173" spans="2:14" ht="12.75" hidden="1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2:14" ht="12.75" hidden="1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</row>
    <row r="175" spans="2:14" ht="12.75" hidden="1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2:14" ht="12.75" hidden="1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2:14" ht="12.75" hidden="1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</row>
    <row r="178" spans="2:14" ht="13.5" thickTop="1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</row>
    <row r="179" spans="2:14" ht="12.75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</row>
    <row r="180" spans="1:15" ht="18">
      <c r="A180" s="87" t="str">
        <f aca="true" t="shared" si="37" ref="A180:A188">+A91</f>
        <v>Energy Cost Adjustment Mechanism</v>
      </c>
      <c r="B180" s="123">
        <f aca="true" t="shared" si="38" ref="B180:M180">+B91+365</f>
        <v>43861</v>
      </c>
      <c r="C180" s="123">
        <f t="shared" si="38"/>
        <v>43889</v>
      </c>
      <c r="D180" s="123">
        <f t="shared" si="38"/>
        <v>43918</v>
      </c>
      <c r="E180" s="123">
        <f t="shared" si="38"/>
        <v>43947</v>
      </c>
      <c r="F180" s="123">
        <f t="shared" si="38"/>
        <v>43976</v>
      </c>
      <c r="G180" s="123">
        <f t="shared" si="38"/>
        <v>44005</v>
      </c>
      <c r="H180" s="123">
        <f t="shared" si="38"/>
        <v>44034</v>
      </c>
      <c r="I180" s="123">
        <f t="shared" si="38"/>
        <v>44063</v>
      </c>
      <c r="J180" s="123">
        <f t="shared" si="38"/>
        <v>44092</v>
      </c>
      <c r="K180" s="123">
        <f t="shared" si="38"/>
        <v>44121</v>
      </c>
      <c r="L180" s="123">
        <f t="shared" si="38"/>
        <v>44150</v>
      </c>
      <c r="M180" s="123">
        <f t="shared" si="38"/>
        <v>44179</v>
      </c>
      <c r="N180" s="78" t="s">
        <v>109</v>
      </c>
      <c r="O180" s="8"/>
    </row>
    <row r="181" spans="1:15" ht="18">
      <c r="A181" s="33" t="str">
        <f t="shared" si="37"/>
        <v>Purchased Energy Costs</v>
      </c>
      <c r="B181" s="18">
        <f>+B190-SUM(B182:B188)</f>
        <v>7678128.63748354</v>
      </c>
      <c r="C181" s="18">
        <f aca="true" t="shared" si="39" ref="C181:M181">+C190-SUM(C182:C188)</f>
        <v>7561945.259717866</v>
      </c>
      <c r="D181" s="18">
        <f t="shared" si="39"/>
        <v>7084442.095732095</v>
      </c>
      <c r="E181" s="18">
        <f t="shared" si="39"/>
        <v>7445959.28145721</v>
      </c>
      <c r="F181" s="18">
        <f t="shared" si="39"/>
        <v>6509759.70054627</v>
      </c>
      <c r="G181" s="18">
        <f t="shared" si="39"/>
        <v>5911913.4560316</v>
      </c>
      <c r="H181" s="18">
        <f t="shared" si="39"/>
        <v>6991322.93470927</v>
      </c>
      <c r="I181" s="18">
        <f t="shared" si="39"/>
        <v>6534568.654148136</v>
      </c>
      <c r="J181" s="18">
        <f t="shared" si="39"/>
        <v>4961937.462864511</v>
      </c>
      <c r="K181" s="18">
        <f t="shared" si="39"/>
        <v>4523654.85049484</v>
      </c>
      <c r="L181" s="18">
        <f t="shared" si="39"/>
        <v>5441764.449016852</v>
      </c>
      <c r="M181" s="18">
        <f t="shared" si="39"/>
        <v>7477537.437737435</v>
      </c>
      <c r="N181" s="126">
        <f aca="true" t="shared" si="40" ref="N181:N189">SUM(B181:M181)</f>
        <v>78122934.21993962</v>
      </c>
      <c r="O181" s="8"/>
    </row>
    <row r="182" spans="1:15" ht="18">
      <c r="A182" s="33" t="str">
        <f t="shared" si="37"/>
        <v>Lepreau Energy Costs</v>
      </c>
      <c r="B182" s="18">
        <v>2084649.6943427315</v>
      </c>
      <c r="C182" s="18">
        <v>2022142.3813525557</v>
      </c>
      <c r="D182" s="18">
        <v>2081984.0992579428</v>
      </c>
      <c r="E182" s="18">
        <v>1630926.066055438</v>
      </c>
      <c r="F182" s="18">
        <v>1960551.4405874056</v>
      </c>
      <c r="G182" s="18">
        <v>2014681.7105607234</v>
      </c>
      <c r="H182" s="18">
        <v>2012647.718547671</v>
      </c>
      <c r="I182" s="18">
        <v>2010442.7245521056</v>
      </c>
      <c r="J182" s="18">
        <v>2008124.5190811246</v>
      </c>
      <c r="K182" s="18">
        <v>2007949.6862491318</v>
      </c>
      <c r="L182" s="18">
        <v>2007439.7612465527</v>
      </c>
      <c r="M182" s="18">
        <v>2005456.639414402</v>
      </c>
      <c r="N182" s="126">
        <f t="shared" si="40"/>
        <v>23846996.441247787</v>
      </c>
      <c r="O182" s="8"/>
    </row>
    <row r="183" spans="1:15" ht="18" hidden="1">
      <c r="A183" s="33" t="str">
        <f t="shared" si="37"/>
        <v>Dalhousie Energy Costs</v>
      </c>
      <c r="B183" s="18"/>
      <c r="C183" s="18"/>
      <c r="D183" s="18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>
        <f t="shared" si="40"/>
        <v>0</v>
      </c>
      <c r="O183" s="8"/>
    </row>
    <row r="184" spans="1:15" ht="18">
      <c r="A184" s="33" t="str">
        <f t="shared" si="37"/>
        <v>Generation Fuel Costs-PEI Plants</v>
      </c>
      <c r="B184" s="18">
        <v>179718.0850212219</v>
      </c>
      <c r="C184" s="18">
        <v>74889.48466617953</v>
      </c>
      <c r="D184" s="18">
        <v>74889.48466617953</v>
      </c>
      <c r="E184" s="18">
        <v>27899.66625</v>
      </c>
      <c r="F184" s="18">
        <v>27899.66625</v>
      </c>
      <c r="G184" s="18">
        <v>6000</v>
      </c>
      <c r="H184" s="18">
        <v>46276.987213868175</v>
      </c>
      <c r="I184" s="18">
        <v>46276.987213868175</v>
      </c>
      <c r="J184" s="18">
        <v>6000</v>
      </c>
      <c r="K184" s="18">
        <v>27899.66625</v>
      </c>
      <c r="L184" s="18">
        <v>27899.66625</v>
      </c>
      <c r="M184" s="18">
        <v>179718.0850212219</v>
      </c>
      <c r="N184" s="126">
        <f t="shared" si="40"/>
        <v>725367.7788025392</v>
      </c>
      <c r="O184" s="8"/>
    </row>
    <row r="185" spans="1:15" ht="18">
      <c r="A185" s="33" t="str">
        <f t="shared" si="37"/>
        <v>PEI Plant Operating Costs</v>
      </c>
      <c r="B185" s="18">
        <v>313636.2578090043</v>
      </c>
      <c r="C185" s="18">
        <v>313636.2578090043</v>
      </c>
      <c r="D185" s="18">
        <v>313636.2578090043</v>
      </c>
      <c r="E185" s="18">
        <v>313636.2578090043</v>
      </c>
      <c r="F185" s="18">
        <v>313636.2578090043</v>
      </c>
      <c r="G185" s="18">
        <v>313636.2578090043</v>
      </c>
      <c r="H185" s="18">
        <v>313636.2578090043</v>
      </c>
      <c r="I185" s="18">
        <v>313636.2578090043</v>
      </c>
      <c r="J185" s="18">
        <v>313636.2578090043</v>
      </c>
      <c r="K185" s="18">
        <v>313636.2578090043</v>
      </c>
      <c r="L185" s="18">
        <v>313636.2578090043</v>
      </c>
      <c r="M185" s="18">
        <v>313636.2578090043</v>
      </c>
      <c r="N185" s="126">
        <f t="shared" si="40"/>
        <v>3763635.0937080514</v>
      </c>
      <c r="O185" s="8"/>
    </row>
    <row r="186" spans="1:15" ht="18">
      <c r="A186" s="159" t="str">
        <f t="shared" si="37"/>
        <v>Less: Insurance, Property Tax &amp; Training</v>
      </c>
      <c r="B186" s="116">
        <v>-76329.898425</v>
      </c>
      <c r="C186" s="116">
        <v>-76329.898425</v>
      </c>
      <c r="D186" s="116">
        <v>-76329.898425</v>
      </c>
      <c r="E186" s="116">
        <v>-76329.898425</v>
      </c>
      <c r="F186" s="116">
        <v>-76329.898425</v>
      </c>
      <c r="G186" s="116">
        <v>-76329.898425</v>
      </c>
      <c r="H186" s="116">
        <v>-76329.898425</v>
      </c>
      <c r="I186" s="116">
        <v>-76329.898425</v>
      </c>
      <c r="J186" s="116">
        <v>-76329.898425</v>
      </c>
      <c r="K186" s="116">
        <v>-76329.898425</v>
      </c>
      <c r="L186" s="116">
        <v>-76329.898425</v>
      </c>
      <c r="M186" s="116">
        <v>-76329.898425</v>
      </c>
      <c r="N186" s="173">
        <f t="shared" si="40"/>
        <v>-915958.7811000001</v>
      </c>
      <c r="O186" s="8"/>
    </row>
    <row r="187" spans="1:15" ht="18">
      <c r="A187" s="33" t="str">
        <f t="shared" si="37"/>
        <v>Amortization - Pt Lepreau Deferred Charge &amp; DSM</v>
      </c>
      <c r="B187" s="18">
        <v>21700</v>
      </c>
      <c r="C187" s="18">
        <v>21700</v>
      </c>
      <c r="D187" s="18">
        <v>21700</v>
      </c>
      <c r="E187" s="18">
        <v>21700</v>
      </c>
      <c r="F187" s="18">
        <v>21700</v>
      </c>
      <c r="G187" s="18">
        <v>21700</v>
      </c>
      <c r="H187" s="18">
        <v>21700</v>
      </c>
      <c r="I187" s="18">
        <v>21700</v>
      </c>
      <c r="J187" s="18">
        <v>21700</v>
      </c>
      <c r="K187" s="18">
        <v>21700</v>
      </c>
      <c r="L187" s="18">
        <v>21700</v>
      </c>
      <c r="M187" s="18">
        <v>21700</v>
      </c>
      <c r="N187" s="126">
        <f t="shared" si="40"/>
        <v>260400</v>
      </c>
      <c r="O187" s="8"/>
    </row>
    <row r="188" spans="1:15" ht="18">
      <c r="A188" s="33" t="str">
        <f t="shared" si="37"/>
        <v>Renewable Energy Costs</v>
      </c>
      <c r="B188" s="18">
        <v>2474655.315650934</v>
      </c>
      <c r="C188" s="18">
        <v>1922212.569555782</v>
      </c>
      <c r="D188" s="18">
        <v>2603930.6690256223</v>
      </c>
      <c r="E188" s="18">
        <v>1961433.144531171</v>
      </c>
      <c r="F188" s="18">
        <v>1980129.238194403</v>
      </c>
      <c r="G188" s="18">
        <v>1852629.4125607456</v>
      </c>
      <c r="H188" s="18">
        <v>1182045.1933809489</v>
      </c>
      <c r="I188" s="18">
        <v>1584430.6601659148</v>
      </c>
      <c r="J188" s="18">
        <v>2835860.2160429773</v>
      </c>
      <c r="K188" s="18">
        <v>3624529.7557760403</v>
      </c>
      <c r="L188" s="18">
        <v>3741525.055691905</v>
      </c>
      <c r="M188" s="18">
        <v>3241381.936625679</v>
      </c>
      <c r="N188" s="126">
        <f t="shared" si="40"/>
        <v>29004763.167202123</v>
      </c>
      <c r="O188" s="8"/>
    </row>
    <row r="189" spans="1:15" ht="18" hidden="1">
      <c r="A189" s="108" t="s">
        <v>192</v>
      </c>
      <c r="B189" s="18">
        <v>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26">
        <f t="shared" si="40"/>
        <v>0</v>
      </c>
      <c r="O189" s="8"/>
    </row>
    <row r="190" spans="1:15" ht="18">
      <c r="A190" s="33"/>
      <c r="B190" s="88">
        <v>12676158.091882432</v>
      </c>
      <c r="C190" s="88">
        <v>11840196.054676387</v>
      </c>
      <c r="D190" s="88">
        <v>12104252.708065843</v>
      </c>
      <c r="E190" s="88">
        <v>11325224.517677823</v>
      </c>
      <c r="F190" s="88">
        <v>10737346.404962083</v>
      </c>
      <c r="G190" s="88">
        <v>10044230.938537074</v>
      </c>
      <c r="H190" s="88">
        <v>10491299.193235762</v>
      </c>
      <c r="I190" s="88">
        <v>10434725.38546403</v>
      </c>
      <c r="J190" s="88">
        <v>10070928.557372617</v>
      </c>
      <c r="K190" s="88">
        <v>10443040.318154017</v>
      </c>
      <c r="L190" s="88">
        <v>11477635.291589314</v>
      </c>
      <c r="M190" s="88">
        <v>13163100.458182743</v>
      </c>
      <c r="N190" s="129">
        <f>SUM(N181:N189)</f>
        <v>134808137.91980013</v>
      </c>
      <c r="O190" s="89">
        <v>134808137.91980007</v>
      </c>
    </row>
    <row r="191" spans="1:15" ht="18">
      <c r="A191" s="33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8"/>
    </row>
    <row r="192" spans="1:15" ht="18" hidden="1">
      <c r="A192" s="33" t="str">
        <f>+A102</f>
        <v>Current Month Replacement Energy Costs</v>
      </c>
      <c r="B192" s="114">
        <v>0</v>
      </c>
      <c r="C192" s="114">
        <v>0</v>
      </c>
      <c r="D192" s="114">
        <v>0</v>
      </c>
      <c r="E192" s="114">
        <v>0</v>
      </c>
      <c r="F192" s="114">
        <v>0</v>
      </c>
      <c r="G192" s="114">
        <v>0</v>
      </c>
      <c r="H192" s="114">
        <v>0</v>
      </c>
      <c r="I192" s="114">
        <v>0</v>
      </c>
      <c r="J192" s="114">
        <v>0</v>
      </c>
      <c r="K192" s="114">
        <v>0</v>
      </c>
      <c r="L192" s="114">
        <v>0</v>
      </c>
      <c r="M192" s="114">
        <v>0</v>
      </c>
      <c r="N192" s="139">
        <f>SUM(B192:M192)</f>
        <v>0</v>
      </c>
      <c r="O192" s="8"/>
    </row>
    <row r="193" spans="1:15" ht="18" hidden="1">
      <c r="A193" s="33" t="str">
        <f>+A103</f>
        <v>Total Energy Costs - Incl Pt Lepreau Replacement</v>
      </c>
      <c r="B193" s="89">
        <f>+B190+B192</f>
        <v>12676158.091882432</v>
      </c>
      <c r="C193" s="89">
        <f>+C190+C192</f>
        <v>11840196.054676387</v>
      </c>
      <c r="D193" s="89">
        <f aca="true" t="shared" si="41" ref="D193:M193">+D190+D192</f>
        <v>12104252.708065843</v>
      </c>
      <c r="E193" s="89">
        <f t="shared" si="41"/>
        <v>11325224.517677823</v>
      </c>
      <c r="F193" s="89">
        <f t="shared" si="41"/>
        <v>10737346.404962083</v>
      </c>
      <c r="G193" s="89">
        <f t="shared" si="41"/>
        <v>10044230.938537074</v>
      </c>
      <c r="H193" s="89">
        <f t="shared" si="41"/>
        <v>10491299.193235762</v>
      </c>
      <c r="I193" s="89">
        <f t="shared" si="41"/>
        <v>10434725.38546403</v>
      </c>
      <c r="J193" s="89">
        <f t="shared" si="41"/>
        <v>10070928.557372617</v>
      </c>
      <c r="K193" s="89">
        <f t="shared" si="41"/>
        <v>10443040.318154017</v>
      </c>
      <c r="L193" s="89">
        <f t="shared" si="41"/>
        <v>11477635.291589314</v>
      </c>
      <c r="M193" s="89">
        <f t="shared" si="41"/>
        <v>13163100.458182743</v>
      </c>
      <c r="N193" s="127">
        <f>SUM(B193:M193)</f>
        <v>134808137.91980013</v>
      </c>
      <c r="O193" s="8"/>
    </row>
    <row r="194" spans="1:15" ht="18" hidden="1">
      <c r="A194" s="33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8"/>
    </row>
    <row r="195" spans="1:15" ht="18">
      <c r="A195" s="33" t="str">
        <f>+A105</f>
        <v>Net Purchased &amp; Produced Energy - kWh (NPP)</v>
      </c>
      <c r="B195" s="18">
        <v>136700888.37907705</v>
      </c>
      <c r="C195" s="18">
        <v>126702408.53223273</v>
      </c>
      <c r="D195" s="18">
        <v>128383321.08574261</v>
      </c>
      <c r="E195" s="18">
        <v>106164476.98164415</v>
      </c>
      <c r="F195" s="18">
        <v>106896438.90262523</v>
      </c>
      <c r="G195" s="18">
        <v>104247576.70497644</v>
      </c>
      <c r="H195" s="18">
        <v>111704188.78797653</v>
      </c>
      <c r="I195" s="18">
        <v>110354259.01567532</v>
      </c>
      <c r="J195" s="18">
        <v>103036639.70182326</v>
      </c>
      <c r="K195" s="18">
        <v>107401412.63226387</v>
      </c>
      <c r="L195" s="18">
        <v>118119855.02433546</v>
      </c>
      <c r="M195" s="18">
        <v>141542636.4957307</v>
      </c>
      <c r="N195" s="18">
        <v>1401254102.2441032</v>
      </c>
      <c r="O195" s="89">
        <v>134808137.91980013</v>
      </c>
    </row>
    <row r="196" spans="1:15" ht="18">
      <c r="A196" s="33" t="str">
        <f>+A106</f>
        <v>Base Rate/kWh</v>
      </c>
      <c r="B196" s="147">
        <v>0.09334999999999999</v>
      </c>
      <c r="C196" s="147">
        <v>0.09334999999999999</v>
      </c>
      <c r="D196" s="147">
        <v>0.09475</v>
      </c>
      <c r="E196" s="147">
        <v>0.09475</v>
      </c>
      <c r="F196" s="147">
        <v>0.09475</v>
      </c>
      <c r="G196" s="147">
        <v>0.09475</v>
      </c>
      <c r="H196" s="147">
        <v>0.09475</v>
      </c>
      <c r="I196" s="147">
        <v>0.09475</v>
      </c>
      <c r="J196" s="147">
        <v>0.09475</v>
      </c>
      <c r="K196" s="147">
        <v>0.09475</v>
      </c>
      <c r="L196" s="147">
        <v>0.09475</v>
      </c>
      <c r="M196" s="147">
        <v>0.09475</v>
      </c>
      <c r="N196" s="148">
        <f>+N197/N195</f>
        <v>0.09448683244524654</v>
      </c>
      <c r="O196" s="8"/>
    </row>
    <row r="197" spans="1:15" ht="18">
      <c r="A197" s="33" t="str">
        <f>+A107</f>
        <v>Base Energy Costs </v>
      </c>
      <c r="B197" s="90">
        <f>+B195*B196</f>
        <v>12761027.930186842</v>
      </c>
      <c r="C197" s="90">
        <f aca="true" t="shared" si="42" ref="C197:M197">+C195*C196</f>
        <v>11827669.836483924</v>
      </c>
      <c r="D197" s="90">
        <f t="shared" si="42"/>
        <v>12164319.672874112</v>
      </c>
      <c r="E197" s="130">
        <f t="shared" si="42"/>
        <v>10059084.194010783</v>
      </c>
      <c r="F197" s="130">
        <f t="shared" si="42"/>
        <v>10128437.58602374</v>
      </c>
      <c r="G197" s="130">
        <f t="shared" si="42"/>
        <v>9877457.892796518</v>
      </c>
      <c r="H197" s="130">
        <f t="shared" si="42"/>
        <v>10583971.887660777</v>
      </c>
      <c r="I197" s="130">
        <f t="shared" si="42"/>
        <v>10456066.041735237</v>
      </c>
      <c r="J197" s="130">
        <f t="shared" si="42"/>
        <v>9762721.611747755</v>
      </c>
      <c r="K197" s="130">
        <f t="shared" si="42"/>
        <v>10176283.846907001</v>
      </c>
      <c r="L197" s="130">
        <f t="shared" si="42"/>
        <v>11191856.263555786</v>
      </c>
      <c r="M197" s="130">
        <f t="shared" si="42"/>
        <v>13411164.807970483</v>
      </c>
      <c r="N197" s="130">
        <f>SUM(B197:M197)</f>
        <v>132400061.57195294</v>
      </c>
      <c r="O197" s="8"/>
    </row>
    <row r="198" spans="1:15" ht="9" customHeight="1">
      <c r="A198" s="33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8"/>
    </row>
    <row r="199" spans="1:17" ht="18.75" thickBot="1">
      <c r="A199" s="33" t="str">
        <f>+A109</f>
        <v>Difference Between Actual &amp; Base Energy Costs</v>
      </c>
      <c r="B199" s="91">
        <f>+B193-B197</f>
        <v>-84869.83830440976</v>
      </c>
      <c r="C199" s="91">
        <f aca="true" t="shared" si="43" ref="C199:N199">+C193-C197</f>
        <v>12526.21819246374</v>
      </c>
      <c r="D199" s="91">
        <f t="shared" si="43"/>
        <v>-60066.96480826847</v>
      </c>
      <c r="E199" s="91">
        <f t="shared" si="43"/>
        <v>1266140.32366704</v>
      </c>
      <c r="F199" s="91">
        <f t="shared" si="43"/>
        <v>608908.8189383429</v>
      </c>
      <c r="G199" s="91">
        <f t="shared" si="43"/>
        <v>166773.04574055597</v>
      </c>
      <c r="H199" s="91">
        <f t="shared" si="43"/>
        <v>-92672.69442501478</v>
      </c>
      <c r="I199" s="91">
        <f t="shared" si="43"/>
        <v>-21340.656271208078</v>
      </c>
      <c r="J199" s="91">
        <f t="shared" si="43"/>
        <v>308206.94562486187</v>
      </c>
      <c r="K199" s="91">
        <f t="shared" si="43"/>
        <v>266756.4712470155</v>
      </c>
      <c r="L199" s="91">
        <f t="shared" si="43"/>
        <v>285779.0280335285</v>
      </c>
      <c r="M199" s="91">
        <f t="shared" si="43"/>
        <v>-248064.34978774004</v>
      </c>
      <c r="N199" s="91">
        <f t="shared" si="43"/>
        <v>2408076.3478471935</v>
      </c>
      <c r="O199" s="8"/>
      <c r="Q199" s="89"/>
    </row>
    <row r="200" spans="5:15" ht="9.75" customHeight="1" thickTop="1"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8"/>
    </row>
    <row r="201" spans="1:15" ht="18" customHeight="1" hidden="1">
      <c r="A201" s="33" t="str">
        <f>+A111</f>
        <v>Opening Balance - Pt Lepreau Replacement Costs</v>
      </c>
      <c r="B201" s="89">
        <f>+N113</f>
        <v>0</v>
      </c>
      <c r="C201" s="18">
        <f>+B203</f>
        <v>0</v>
      </c>
      <c r="D201" s="89">
        <f aca="true" t="shared" si="44" ref="D201:M201">+C203</f>
        <v>0</v>
      </c>
      <c r="E201" s="128">
        <f t="shared" si="44"/>
        <v>0</v>
      </c>
      <c r="F201" s="128">
        <f t="shared" si="44"/>
        <v>0</v>
      </c>
      <c r="G201" s="128">
        <f t="shared" si="44"/>
        <v>0</v>
      </c>
      <c r="H201" s="128">
        <f t="shared" si="44"/>
        <v>0</v>
      </c>
      <c r="I201" s="128">
        <f t="shared" si="44"/>
        <v>0</v>
      </c>
      <c r="J201" s="128">
        <f t="shared" si="44"/>
        <v>0</v>
      </c>
      <c r="K201" s="128">
        <f t="shared" si="44"/>
        <v>0</v>
      </c>
      <c r="L201" s="128">
        <f t="shared" si="44"/>
        <v>0</v>
      </c>
      <c r="M201" s="128">
        <f t="shared" si="44"/>
        <v>0</v>
      </c>
      <c r="N201" s="128">
        <f>+B201</f>
        <v>0</v>
      </c>
      <c r="O201" s="8"/>
    </row>
    <row r="202" spans="1:15" ht="18" customHeight="1" hidden="1">
      <c r="A202" s="33" t="str">
        <f>+A112</f>
        <v>Additions (Reductions)</v>
      </c>
      <c r="B202" s="114">
        <v>0</v>
      </c>
      <c r="C202" s="114">
        <v>0</v>
      </c>
      <c r="D202" s="114">
        <v>0</v>
      </c>
      <c r="E202" s="114">
        <v>0</v>
      </c>
      <c r="F202" s="114">
        <v>0</v>
      </c>
      <c r="G202" s="114">
        <v>0</v>
      </c>
      <c r="H202" s="114">
        <v>0</v>
      </c>
      <c r="I202" s="114">
        <v>0</v>
      </c>
      <c r="J202" s="114">
        <v>0</v>
      </c>
      <c r="K202" s="114">
        <v>0</v>
      </c>
      <c r="L202" s="114">
        <v>0</v>
      </c>
      <c r="M202" s="114">
        <v>0</v>
      </c>
      <c r="N202" s="131">
        <f>SUM(B202:M202)</f>
        <v>0</v>
      </c>
      <c r="O202" s="8"/>
    </row>
    <row r="203" spans="1:15" ht="18" customHeight="1" hidden="1">
      <c r="A203" s="33" t="str">
        <f>+A113</f>
        <v>Closing Balance - Pt Lepreau Replacement Costs</v>
      </c>
      <c r="B203" s="89">
        <f>+B201+B202</f>
        <v>0</v>
      </c>
      <c r="C203" s="89">
        <f>+C201+C202</f>
        <v>0</v>
      </c>
      <c r="D203" s="89">
        <f aca="true" t="shared" si="45" ref="D203:M203">+D201+D202</f>
        <v>0</v>
      </c>
      <c r="E203" s="128">
        <f t="shared" si="45"/>
        <v>0</v>
      </c>
      <c r="F203" s="128">
        <f t="shared" si="45"/>
        <v>0</v>
      </c>
      <c r="G203" s="128">
        <f t="shared" si="45"/>
        <v>0</v>
      </c>
      <c r="H203" s="128">
        <f t="shared" si="45"/>
        <v>0</v>
      </c>
      <c r="I203" s="128">
        <f t="shared" si="45"/>
        <v>0</v>
      </c>
      <c r="J203" s="128">
        <f t="shared" si="45"/>
        <v>0</v>
      </c>
      <c r="K203" s="128">
        <f t="shared" si="45"/>
        <v>0</v>
      </c>
      <c r="L203" s="128">
        <f t="shared" si="45"/>
        <v>0</v>
      </c>
      <c r="M203" s="128">
        <f t="shared" si="45"/>
        <v>0</v>
      </c>
      <c r="N203" s="128">
        <f>+N201+N202</f>
        <v>0</v>
      </c>
      <c r="O203" s="8"/>
    </row>
    <row r="204" spans="5:15" ht="18" customHeight="1" hidden="1"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8"/>
    </row>
    <row r="205" spans="1:15" ht="18">
      <c r="A205" s="33" t="str">
        <f>+A115</f>
        <v>Opening Balance - ECAM</v>
      </c>
      <c r="B205" s="18">
        <f>+M118</f>
        <v>2329042.1015209323</v>
      </c>
      <c r="C205" s="18">
        <f>+B208</f>
        <v>1786168.8149629238</v>
      </c>
      <c r="D205" s="18">
        <f>+C208</f>
        <v>1345229.1279396177</v>
      </c>
      <c r="E205" s="18">
        <f aca="true" t="shared" si="46" ref="E205:M205">+D208</f>
        <v>1081489.108659757</v>
      </c>
      <c r="F205" s="18">
        <f t="shared" si="46"/>
        <v>2147048.261843291</v>
      </c>
      <c r="G205" s="18">
        <f t="shared" si="46"/>
        <v>2574396.6461782157</v>
      </c>
      <c r="H205" s="18">
        <f t="shared" si="46"/>
        <v>2568857.681449527</v>
      </c>
      <c r="I205" s="18">
        <f t="shared" si="46"/>
        <v>2300200.3685968174</v>
      </c>
      <c r="J205" s="18">
        <f t="shared" si="46"/>
        <v>2093759.2119568386</v>
      </c>
      <c r="K205" s="18">
        <f t="shared" si="46"/>
        <v>2218306.3490654184</v>
      </c>
      <c r="L205" s="18">
        <f t="shared" si="46"/>
        <v>2312565.18554809</v>
      </c>
      <c r="M205" s="18">
        <f t="shared" si="46"/>
        <v>2418155.239097504</v>
      </c>
      <c r="N205" s="128">
        <f>+B205</f>
        <v>2329042.1015209323</v>
      </c>
      <c r="O205" s="8"/>
    </row>
    <row r="206" spans="1:15" ht="18">
      <c r="A206" s="33" t="str">
        <f>+A116</f>
        <v>Additions/(Reductions)</v>
      </c>
      <c r="B206" s="89">
        <f>+B199</f>
        <v>-84869.83830440976</v>
      </c>
      <c r="C206" s="89">
        <f aca="true" t="shared" si="47" ref="C206:M206">+C199</f>
        <v>12526.21819246374</v>
      </c>
      <c r="D206" s="89">
        <f t="shared" si="47"/>
        <v>-60066.96480826847</v>
      </c>
      <c r="E206" s="127">
        <f t="shared" si="47"/>
        <v>1266140.32366704</v>
      </c>
      <c r="F206" s="127">
        <f t="shared" si="47"/>
        <v>608908.8189383429</v>
      </c>
      <c r="G206" s="127">
        <f t="shared" si="47"/>
        <v>166773.04574055597</v>
      </c>
      <c r="H206" s="127">
        <f t="shared" si="47"/>
        <v>-92672.69442501478</v>
      </c>
      <c r="I206" s="127">
        <f t="shared" si="47"/>
        <v>-21340.656271208078</v>
      </c>
      <c r="J206" s="127">
        <f t="shared" si="47"/>
        <v>308206.94562486187</v>
      </c>
      <c r="K206" s="127">
        <f t="shared" si="47"/>
        <v>266756.4712470155</v>
      </c>
      <c r="L206" s="127">
        <f t="shared" si="47"/>
        <v>285779.0280335285</v>
      </c>
      <c r="M206" s="127">
        <f t="shared" si="47"/>
        <v>-248064.34978774004</v>
      </c>
      <c r="N206" s="128">
        <f>SUM(B206:M206)</f>
        <v>2408076.3478471674</v>
      </c>
      <c r="O206" s="8"/>
    </row>
    <row r="207" spans="1:15" ht="18">
      <c r="A207" s="33" t="str">
        <f>+A117</f>
        <v>Rebated/(Collected) From Ratepayer</v>
      </c>
      <c r="B207" s="114">
        <v>-458003.4482535987</v>
      </c>
      <c r="C207" s="114">
        <v>-453465.9052157697</v>
      </c>
      <c r="D207" s="114">
        <v>-203673.05447159216</v>
      </c>
      <c r="E207" s="114">
        <v>-200581.17048350614</v>
      </c>
      <c r="F207" s="114">
        <v>-181560.43460341825</v>
      </c>
      <c r="G207" s="114">
        <v>-172312.01046924494</v>
      </c>
      <c r="H207" s="114">
        <v>-175984.61842769483</v>
      </c>
      <c r="I207" s="114">
        <v>-185100.50036877068</v>
      </c>
      <c r="J207" s="114">
        <v>-183659.8085162822</v>
      </c>
      <c r="K207" s="114">
        <v>-172497.63476434414</v>
      </c>
      <c r="L207" s="114">
        <v>-180188.9744841143</v>
      </c>
      <c r="M207" s="114">
        <v>-219226.64606726</v>
      </c>
      <c r="N207" s="127">
        <f>SUM(B207:M207)</f>
        <v>-2786254.2061255956</v>
      </c>
      <c r="O207" s="8"/>
    </row>
    <row r="208" spans="1:15" ht="18.75" thickBot="1">
      <c r="A208" s="33" t="str">
        <f>+A118</f>
        <v>Closing Balance - ECAM </v>
      </c>
      <c r="B208" s="115">
        <f aca="true" t="shared" si="48" ref="B208:N208">SUM(B205:B207)</f>
        <v>1786168.8149629238</v>
      </c>
      <c r="C208" s="115">
        <f t="shared" si="48"/>
        <v>1345229.1279396177</v>
      </c>
      <c r="D208" s="115">
        <f t="shared" si="48"/>
        <v>1081489.108659757</v>
      </c>
      <c r="E208" s="175">
        <f t="shared" si="48"/>
        <v>2147048.261843291</v>
      </c>
      <c r="F208" s="175">
        <f t="shared" si="48"/>
        <v>2574396.6461782157</v>
      </c>
      <c r="G208" s="175">
        <f t="shared" si="48"/>
        <v>2568857.681449527</v>
      </c>
      <c r="H208" s="175">
        <f t="shared" si="48"/>
        <v>2300200.3685968174</v>
      </c>
      <c r="I208" s="175">
        <f t="shared" si="48"/>
        <v>2093759.2119568386</v>
      </c>
      <c r="J208" s="175">
        <f t="shared" si="48"/>
        <v>2218306.3490654184</v>
      </c>
      <c r="K208" s="175">
        <f t="shared" si="48"/>
        <v>2312565.18554809</v>
      </c>
      <c r="L208" s="175">
        <f t="shared" si="48"/>
        <v>2418155.239097504</v>
      </c>
      <c r="M208" s="175">
        <f t="shared" si="48"/>
        <v>1950864.2432425038</v>
      </c>
      <c r="N208" s="175">
        <f t="shared" si="48"/>
        <v>1950864.243242504</v>
      </c>
      <c r="O208" s="8"/>
    </row>
    <row r="209" spans="1:15" ht="18.75" hidden="1" thickBot="1">
      <c r="A209" s="33" t="str">
        <f>+A119</f>
        <v>General Ledger Closing Balance</v>
      </c>
      <c r="B209" s="169">
        <f aca="true" t="shared" si="49" ref="B209:N209">+B203+B208</f>
        <v>1786168.8149629238</v>
      </c>
      <c r="C209" s="169">
        <f t="shared" si="49"/>
        <v>1345229.1279396177</v>
      </c>
      <c r="D209" s="169">
        <f t="shared" si="49"/>
        <v>1081489.108659757</v>
      </c>
      <c r="E209" s="174">
        <f t="shared" si="49"/>
        <v>2147048.261843291</v>
      </c>
      <c r="F209" s="174">
        <f t="shared" si="49"/>
        <v>2574396.6461782157</v>
      </c>
      <c r="G209" s="174">
        <f t="shared" si="49"/>
        <v>2568857.681449527</v>
      </c>
      <c r="H209" s="174">
        <f t="shared" si="49"/>
        <v>2300200.3685968174</v>
      </c>
      <c r="I209" s="174">
        <f t="shared" si="49"/>
        <v>2093759.2119568386</v>
      </c>
      <c r="J209" s="174">
        <f t="shared" si="49"/>
        <v>2218306.3490654184</v>
      </c>
      <c r="K209" s="174">
        <f t="shared" si="49"/>
        <v>2312565.18554809</v>
      </c>
      <c r="L209" s="174">
        <f t="shared" si="49"/>
        <v>2418155.239097504</v>
      </c>
      <c r="M209" s="174">
        <f t="shared" si="49"/>
        <v>1950864.2432425038</v>
      </c>
      <c r="N209" s="174">
        <f t="shared" si="49"/>
        <v>1950864.243242504</v>
      </c>
      <c r="O209" s="8"/>
    </row>
    <row r="210" spans="5:15" ht="10.5" customHeight="1" thickTop="1"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8"/>
    </row>
    <row r="211" spans="1:15" ht="18.75" thickBot="1">
      <c r="A211" s="33" t="s">
        <v>211</v>
      </c>
      <c r="B211" s="106">
        <v>2.3682008981888307</v>
      </c>
      <c r="C211" s="106">
        <v>2.3682008981888307</v>
      </c>
      <c r="D211" s="106">
        <v>1.159768795782987</v>
      </c>
      <c r="E211" s="106">
        <v>1.159768795782987</v>
      </c>
      <c r="F211" s="106">
        <v>1.159768795782987</v>
      </c>
      <c r="G211" s="106">
        <v>1.159768795782987</v>
      </c>
      <c r="H211" s="106">
        <v>1.159768795782987</v>
      </c>
      <c r="I211" s="106">
        <v>1.159768795782987</v>
      </c>
      <c r="J211" s="106">
        <v>1.159768795782987</v>
      </c>
      <c r="K211" s="106">
        <v>1.159768795782987</v>
      </c>
      <c r="L211" s="106">
        <v>1.159768795782987</v>
      </c>
      <c r="M211" s="106">
        <v>1.159768795782987</v>
      </c>
      <c r="N211" s="132">
        <f>SUM(B211:M211)</f>
        <v>16.334089754207536</v>
      </c>
      <c r="O211" s="8"/>
    </row>
    <row r="212" spans="1:15" ht="10.5" customHeight="1" hidden="1" thickTop="1">
      <c r="A212" s="111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8"/>
    </row>
    <row r="213" spans="1:14" ht="18.75" hidden="1" thickBot="1">
      <c r="A213" s="33" t="s">
        <v>212</v>
      </c>
      <c r="B213" s="106">
        <v>36.433859972135856</v>
      </c>
      <c r="C213" s="106">
        <v>36.433859972135856</v>
      </c>
      <c r="D213" s="106">
        <v>17.842596858199798</v>
      </c>
      <c r="E213" s="106">
        <v>17.842596858199798</v>
      </c>
      <c r="F213" s="106">
        <v>17.842596858199798</v>
      </c>
      <c r="G213" s="106">
        <v>17.842596858199798</v>
      </c>
      <c r="H213" s="106">
        <v>17.842596858199798</v>
      </c>
      <c r="I213" s="106">
        <v>17.842596858199798</v>
      </c>
      <c r="J213" s="106">
        <v>17.842596858199798</v>
      </c>
      <c r="K213" s="106">
        <v>17.842596858199798</v>
      </c>
      <c r="L213" s="106">
        <v>17.842596858199798</v>
      </c>
      <c r="M213" s="106">
        <v>17.842596858199798</v>
      </c>
      <c r="N213" s="106">
        <f>SUM(B213:M213)</f>
        <v>251.2936885262696</v>
      </c>
    </row>
    <row r="214" spans="2:14" ht="12" customHeight="1" hidden="1">
      <c r="B214" s="117">
        <f aca="true" t="shared" si="50" ref="B214:M214">+B240-B211</f>
        <v>8.228675466206685</v>
      </c>
      <c r="C214" s="117">
        <f t="shared" si="50"/>
        <v>9.176476884534363</v>
      </c>
      <c r="D214" s="117">
        <f t="shared" si="50"/>
        <v>11.168098031387576</v>
      </c>
      <c r="E214" s="117">
        <f t="shared" si="50"/>
        <v>12.642478909816743</v>
      </c>
      <c r="F214" s="117">
        <f t="shared" si="50"/>
        <v>-1.159768795782987</v>
      </c>
      <c r="G214" s="117">
        <f t="shared" si="50"/>
        <v>-1.159768795782987</v>
      </c>
      <c r="H214" s="117">
        <f t="shared" si="50"/>
        <v>14.583006082607238</v>
      </c>
      <c r="I214" s="117">
        <f t="shared" si="50"/>
        <v>14.190295241362689</v>
      </c>
      <c r="J214" s="117">
        <f t="shared" si="50"/>
        <v>14.392407672709112</v>
      </c>
      <c r="K214" s="117">
        <f t="shared" si="50"/>
        <v>14.608131072270218</v>
      </c>
      <c r="L214" s="117">
        <f t="shared" si="50"/>
        <v>14.50915566158052</v>
      </c>
      <c r="M214" s="117">
        <f t="shared" si="50"/>
        <v>15.56568813625882</v>
      </c>
      <c r="N214" s="117">
        <f>SUM(B214:M214)</f>
        <v>126.74487556716801</v>
      </c>
    </row>
    <row r="215" spans="1:30" ht="14.25" hidden="1">
      <c r="A215" s="108" t="e">
        <f>+#REF!</f>
        <v>#REF!</v>
      </c>
      <c r="B215" s="133">
        <v>0</v>
      </c>
      <c r="C215" s="133">
        <v>0</v>
      </c>
      <c r="D215" s="133">
        <v>0</v>
      </c>
      <c r="E215" s="133">
        <v>0</v>
      </c>
      <c r="F215" s="133">
        <v>0</v>
      </c>
      <c r="G215" s="133">
        <v>0</v>
      </c>
      <c r="H215" s="133">
        <v>0</v>
      </c>
      <c r="I215" s="133">
        <v>0</v>
      </c>
      <c r="J215" s="133">
        <v>0</v>
      </c>
      <c r="K215" s="133">
        <v>0</v>
      </c>
      <c r="L215" s="133">
        <v>0</v>
      </c>
      <c r="M215" s="133">
        <v>0</v>
      </c>
      <c r="N215" s="133">
        <f>+M215</f>
        <v>0</v>
      </c>
      <c r="Q215" s="140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</row>
    <row r="216" spans="1:30" ht="14.25" hidden="1">
      <c r="A216" s="108" t="str">
        <f>+A125</f>
        <v>Regular ECAM</v>
      </c>
      <c r="B216" s="133">
        <f>+B209-B215</f>
        <v>1786168.8149629238</v>
      </c>
      <c r="C216" s="133">
        <f aca="true" t="shared" si="51" ref="C216:N216">+C209-C215</f>
        <v>1345229.1279396177</v>
      </c>
      <c r="D216" s="133">
        <f t="shared" si="51"/>
        <v>1081489.108659757</v>
      </c>
      <c r="E216" s="133">
        <f t="shared" si="51"/>
        <v>2147048.261843291</v>
      </c>
      <c r="F216" s="133">
        <f t="shared" si="51"/>
        <v>2574396.6461782157</v>
      </c>
      <c r="G216" s="133">
        <f t="shared" si="51"/>
        <v>2568857.681449527</v>
      </c>
      <c r="H216" s="133">
        <f t="shared" si="51"/>
        <v>2300200.3685968174</v>
      </c>
      <c r="I216" s="133">
        <f t="shared" si="51"/>
        <v>2093759.2119568386</v>
      </c>
      <c r="J216" s="133">
        <f t="shared" si="51"/>
        <v>2218306.3490654184</v>
      </c>
      <c r="K216" s="133">
        <f t="shared" si="51"/>
        <v>2312565.18554809</v>
      </c>
      <c r="L216" s="133">
        <f t="shared" si="51"/>
        <v>2418155.239097504</v>
      </c>
      <c r="M216" s="133">
        <f t="shared" si="51"/>
        <v>1950864.2432425038</v>
      </c>
      <c r="N216" s="133">
        <f t="shared" si="51"/>
        <v>1950864.243242504</v>
      </c>
      <c r="Q216" s="140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</row>
    <row r="217" spans="1:30" ht="14.25" hidden="1">
      <c r="A217" s="108" t="str">
        <f>+A126</f>
        <v>Total ECAM</v>
      </c>
      <c r="B217" s="134">
        <f>SUM(B215:B216)</f>
        <v>1786168.8149629238</v>
      </c>
      <c r="C217" s="134">
        <f aca="true" t="shared" si="52" ref="C217:N217">SUM(C215:C216)</f>
        <v>1345229.1279396177</v>
      </c>
      <c r="D217" s="134">
        <f t="shared" si="52"/>
        <v>1081489.108659757</v>
      </c>
      <c r="E217" s="134">
        <f t="shared" si="52"/>
        <v>2147048.261843291</v>
      </c>
      <c r="F217" s="134">
        <f t="shared" si="52"/>
        <v>2574396.6461782157</v>
      </c>
      <c r="G217" s="134">
        <f t="shared" si="52"/>
        <v>2568857.681449527</v>
      </c>
      <c r="H217" s="134">
        <f t="shared" si="52"/>
        <v>2300200.3685968174</v>
      </c>
      <c r="I217" s="134">
        <f t="shared" si="52"/>
        <v>2093759.2119568386</v>
      </c>
      <c r="J217" s="134">
        <f t="shared" si="52"/>
        <v>2218306.3490654184</v>
      </c>
      <c r="K217" s="134">
        <f t="shared" si="52"/>
        <v>2312565.18554809</v>
      </c>
      <c r="L217" s="134">
        <f t="shared" si="52"/>
        <v>2418155.239097504</v>
      </c>
      <c r="M217" s="134">
        <f t="shared" si="52"/>
        <v>1950864.2432425038</v>
      </c>
      <c r="N217" s="134">
        <f t="shared" si="52"/>
        <v>1950864.243242504</v>
      </c>
      <c r="Q217" s="140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</row>
    <row r="218" spans="2:14" ht="17.25" customHeight="1" hidden="1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1:15" ht="17.25" customHeight="1" hidden="1">
      <c r="A219" s="144" t="s">
        <v>193</v>
      </c>
      <c r="B219" s="145">
        <v>125708187.00073881</v>
      </c>
      <c r="C219" s="145">
        <v>124462767.75575647</v>
      </c>
      <c r="D219" s="145">
        <v>114149894.26160327</v>
      </c>
      <c r="E219" s="145">
        <v>112417027.67684652</v>
      </c>
      <c r="F219" s="145">
        <v>101756731.96358734</v>
      </c>
      <c r="G219" s="145">
        <v>96573392.22460586</v>
      </c>
      <c r="H219" s="145">
        <v>98631729.35324086</v>
      </c>
      <c r="I219" s="145">
        <v>103740784.954016</v>
      </c>
      <c r="J219" s="145">
        <v>102933339.79121931</v>
      </c>
      <c r="K219" s="145">
        <v>96677426.57373923</v>
      </c>
      <c r="L219" s="145">
        <v>100988088.17804237</v>
      </c>
      <c r="M219" s="145">
        <v>122867006.3049211</v>
      </c>
      <c r="N219" s="145">
        <v>1300906376.0383172</v>
      </c>
      <c r="O219" s="142"/>
    </row>
    <row r="220" spans="2:14" ht="17.25" customHeight="1" hidden="1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2:14" ht="17.25" customHeight="1" hidden="1">
      <c r="B221" s="117"/>
      <c r="C221" s="117"/>
      <c r="D221" s="143"/>
      <c r="E221" s="143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2:14" ht="17.25" customHeight="1" hidden="1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2:14" ht="17.25" customHeight="1" hidden="1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2:14" ht="17.25" customHeight="1" hidden="1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2:14" ht="17.25" customHeight="1" hidden="1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2:14" ht="17.25" customHeight="1" hidden="1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2:14" ht="17.25" customHeight="1" hidden="1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2:14" ht="17.25" customHeight="1" hidden="1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2:14" ht="17.25" customHeight="1" hidden="1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2:14" ht="17.25" customHeight="1" hidden="1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2:14" ht="17.25" customHeight="1" hidden="1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2:14" ht="17.25" customHeight="1" hidden="1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2:14" ht="17.25" customHeight="1" hidden="1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2:14" ht="17.25" customHeight="1" hidden="1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2:14" ht="17.25" customHeight="1" hidden="1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2:14" ht="17.25" customHeight="1" hidden="1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2:14" ht="17.25" customHeight="1" hidden="1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2:14" ht="18.75" customHeight="1" hidden="1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2:14" ht="18.75" customHeight="1" hidden="1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2:14" ht="12.75" hidden="1">
      <c r="B240" s="120">
        <v>10.596876364395515</v>
      </c>
      <c r="C240" s="120">
        <v>11.544677782723193</v>
      </c>
      <c r="D240" s="120">
        <v>12.327866827170563</v>
      </c>
      <c r="E240" s="120">
        <v>13.802247705599731</v>
      </c>
      <c r="F240" s="136"/>
      <c r="G240" s="136"/>
      <c r="H240" s="120">
        <v>15.742774878390225</v>
      </c>
      <c r="I240" s="120">
        <v>15.350064037145676</v>
      </c>
      <c r="J240" s="120">
        <v>15.5521764684921</v>
      </c>
      <c r="K240" s="120">
        <v>15.767899868053206</v>
      </c>
      <c r="L240" s="120">
        <v>15.668924457363508</v>
      </c>
      <c r="M240" s="120">
        <v>16.72545693204181</v>
      </c>
      <c r="N240" s="121">
        <f>SUM(B240:M240)</f>
        <v>143.0789653213755</v>
      </c>
    </row>
    <row r="241" spans="2:14" ht="13.5" thickTop="1">
      <c r="B241" s="120"/>
      <c r="C241" s="120"/>
      <c r="D241" s="120"/>
      <c r="E241" s="120"/>
      <c r="F241" s="136"/>
      <c r="G241" s="136"/>
      <c r="H241" s="120"/>
      <c r="I241" s="120"/>
      <c r="J241" s="120"/>
      <c r="K241" s="120"/>
      <c r="L241" s="120"/>
      <c r="M241" s="120"/>
      <c r="N241" s="121"/>
    </row>
    <row r="242" spans="2:14" ht="12.75">
      <c r="B242" s="120"/>
      <c r="C242" s="120"/>
      <c r="D242" s="120"/>
      <c r="E242" s="120"/>
      <c r="F242" s="136"/>
      <c r="G242" s="136"/>
      <c r="H242" s="120"/>
      <c r="I242" s="120"/>
      <c r="J242" s="120"/>
      <c r="K242" s="120"/>
      <c r="L242" s="120"/>
      <c r="M242" s="120"/>
      <c r="N242" s="121"/>
    </row>
    <row r="243" spans="1:14" ht="18">
      <c r="A243" s="87" t="str">
        <f aca="true" t="shared" si="53" ref="A243:A251">+A180</f>
        <v>Energy Cost Adjustment Mechanism</v>
      </c>
      <c r="B243" s="78">
        <f aca="true" t="shared" si="54" ref="B243:M243">+B180+365</f>
        <v>44226</v>
      </c>
      <c r="C243" s="78">
        <f t="shared" si="54"/>
        <v>44254</v>
      </c>
      <c r="D243" s="78">
        <f t="shared" si="54"/>
        <v>44283</v>
      </c>
      <c r="E243" s="78">
        <f t="shared" si="54"/>
        <v>44312</v>
      </c>
      <c r="F243" s="78">
        <f t="shared" si="54"/>
        <v>44341</v>
      </c>
      <c r="G243" s="78">
        <f t="shared" si="54"/>
        <v>44370</v>
      </c>
      <c r="H243" s="78">
        <f t="shared" si="54"/>
        <v>44399</v>
      </c>
      <c r="I243" s="78">
        <f t="shared" si="54"/>
        <v>44428</v>
      </c>
      <c r="J243" s="78">
        <f t="shared" si="54"/>
        <v>44457</v>
      </c>
      <c r="K243" s="78">
        <f t="shared" si="54"/>
        <v>44486</v>
      </c>
      <c r="L243" s="78">
        <f t="shared" si="54"/>
        <v>44515</v>
      </c>
      <c r="M243" s="78">
        <f t="shared" si="54"/>
        <v>44544</v>
      </c>
      <c r="N243" s="78" t="s">
        <v>109</v>
      </c>
    </row>
    <row r="244" spans="1:14" ht="18">
      <c r="A244" s="33" t="str">
        <f t="shared" si="53"/>
        <v>Purchased Energy Costs</v>
      </c>
      <c r="B244" s="18">
        <f>+B253-SUM(B245:B251)</f>
        <v>7247899.84550221</v>
      </c>
      <c r="C244" s="18">
        <f aca="true" t="shared" si="55" ref="C244:M244">+C253-SUM(C245:C251)</f>
        <v>6901790.0216492545</v>
      </c>
      <c r="D244" s="18">
        <f t="shared" si="55"/>
        <v>6521689.736752701</v>
      </c>
      <c r="E244" s="18">
        <f t="shared" si="55"/>
        <v>5472462.0340918945</v>
      </c>
      <c r="F244" s="18">
        <f t="shared" si="55"/>
        <v>5548266.216724246</v>
      </c>
      <c r="G244" s="18">
        <f t="shared" si="55"/>
        <v>5534652.879924366</v>
      </c>
      <c r="H244" s="18">
        <f t="shared" si="55"/>
        <v>6822567.5010346845</v>
      </c>
      <c r="I244" s="18">
        <f t="shared" si="55"/>
        <v>6302973.951012999</v>
      </c>
      <c r="J244" s="18">
        <f t="shared" si="55"/>
        <v>5180682.846361261</v>
      </c>
      <c r="K244" s="18">
        <f t="shared" si="55"/>
        <v>4641111.20621635</v>
      </c>
      <c r="L244" s="18">
        <f t="shared" si="55"/>
        <v>5741402.886354002</v>
      </c>
      <c r="M244" s="18">
        <f t="shared" si="55"/>
        <v>7803356.48489658</v>
      </c>
      <c r="N244" s="18">
        <f aca="true" t="shared" si="56" ref="N244:N250">SUM(B244:M244)</f>
        <v>73718855.61052056</v>
      </c>
    </row>
    <row r="245" spans="1:14" ht="18">
      <c r="A245" s="33" t="str">
        <f t="shared" si="53"/>
        <v>Lepreau Energy Costs</v>
      </c>
      <c r="B245" s="18">
        <v>2001801.385581581</v>
      </c>
      <c r="C245" s="18">
        <v>1999772.4354456111</v>
      </c>
      <c r="D245" s="18">
        <v>1998819.9423982399</v>
      </c>
      <c r="E245" s="18">
        <v>1997149.8112918034</v>
      </c>
      <c r="F245" s="18">
        <v>1995838.4992148993</v>
      </c>
      <c r="G245" s="18">
        <v>1994168.3681084623</v>
      </c>
      <c r="H245" s="18">
        <v>1992857.0560315582</v>
      </c>
      <c r="I245" s="18">
        <v>1991366.3344398877</v>
      </c>
      <c r="J245" s="18">
        <v>1989696.203333451</v>
      </c>
      <c r="K245" s="18">
        <v>1988384.891256547</v>
      </c>
      <c r="L245" s="18">
        <v>1986714.76015011</v>
      </c>
      <c r="M245" s="18">
        <v>1985403.448073206</v>
      </c>
      <c r="N245" s="18">
        <f t="shared" si="56"/>
        <v>23921973.135325357</v>
      </c>
    </row>
    <row r="246" spans="1:14" ht="18" hidden="1">
      <c r="A246" s="33" t="str">
        <f t="shared" si="53"/>
        <v>Dalhousie Energy Costs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>
        <f t="shared" si="56"/>
        <v>0</v>
      </c>
    </row>
    <row r="247" spans="1:14" ht="18">
      <c r="A247" s="33" t="str">
        <f t="shared" si="53"/>
        <v>Generation Fuel Costs-PEI Plants</v>
      </c>
      <c r="B247" s="18">
        <v>163066.07724552267</v>
      </c>
      <c r="C247" s="18">
        <v>54614.038460185555</v>
      </c>
      <c r="D247" s="18">
        <v>54614.038460185555</v>
      </c>
      <c r="E247" s="18">
        <v>6000</v>
      </c>
      <c r="F247" s="18">
        <v>6000</v>
      </c>
      <c r="G247" s="18">
        <v>6000</v>
      </c>
      <c r="H247" s="18">
        <v>47669.175823016194</v>
      </c>
      <c r="I247" s="18">
        <v>47669.175823016194</v>
      </c>
      <c r="J247" s="18">
        <v>6000</v>
      </c>
      <c r="K247" s="18">
        <v>6000</v>
      </c>
      <c r="L247" s="18">
        <v>6000</v>
      </c>
      <c r="M247" s="18">
        <v>163066.07724552267</v>
      </c>
      <c r="N247" s="18">
        <f t="shared" si="56"/>
        <v>566698.5830574489</v>
      </c>
    </row>
    <row r="248" spans="1:14" ht="18">
      <c r="A248" s="33" t="str">
        <f t="shared" si="53"/>
        <v>PEI Plant Operating Costs</v>
      </c>
      <c r="B248" s="18">
        <v>326022.48719721363</v>
      </c>
      <c r="C248" s="18">
        <v>326022.48719721363</v>
      </c>
      <c r="D248" s="18">
        <v>326022.48719721363</v>
      </c>
      <c r="E248" s="18">
        <v>326022.48719721363</v>
      </c>
      <c r="F248" s="18">
        <v>326022.48719721363</v>
      </c>
      <c r="G248" s="18">
        <v>326022.48719721363</v>
      </c>
      <c r="H248" s="18">
        <v>326022.48719721363</v>
      </c>
      <c r="I248" s="18">
        <v>326022.48719721363</v>
      </c>
      <c r="J248" s="18">
        <v>326022.48719721363</v>
      </c>
      <c r="K248" s="18">
        <v>326022.48719721363</v>
      </c>
      <c r="L248" s="18">
        <v>326022.48719721363</v>
      </c>
      <c r="M248" s="18">
        <v>326022.48719721363</v>
      </c>
      <c r="N248" s="18">
        <f t="shared" si="56"/>
        <v>3912269.8463665643</v>
      </c>
    </row>
    <row r="249" spans="1:14" ht="18">
      <c r="A249" s="159" t="str">
        <f t="shared" si="53"/>
        <v>Less: Insurance, Property Tax &amp; Training</v>
      </c>
      <c r="B249" s="116">
        <v>-80855.69694091666</v>
      </c>
      <c r="C249" s="116">
        <v>-80855.69694091666</v>
      </c>
      <c r="D249" s="116">
        <v>-80855.69694091666</v>
      </c>
      <c r="E249" s="116">
        <v>-80855.69694091666</v>
      </c>
      <c r="F249" s="116">
        <v>-80855.69694091666</v>
      </c>
      <c r="G249" s="116">
        <v>-80855.69694091666</v>
      </c>
      <c r="H249" s="116">
        <v>-80855.69694091666</v>
      </c>
      <c r="I249" s="116">
        <v>-80855.69694091666</v>
      </c>
      <c r="J249" s="116">
        <v>-80855.69694091666</v>
      </c>
      <c r="K249" s="116">
        <v>-80855.69694091666</v>
      </c>
      <c r="L249" s="116">
        <v>-80855.69694091666</v>
      </c>
      <c r="M249" s="116">
        <v>-80855.69694091666</v>
      </c>
      <c r="N249" s="116">
        <f t="shared" si="56"/>
        <v>-970268.3632910001</v>
      </c>
    </row>
    <row r="250" spans="1:14" ht="18">
      <c r="A250" s="33" t="str">
        <f t="shared" si="53"/>
        <v>Amortization - Pt Lepreau Deferred Charge &amp; DSM</v>
      </c>
      <c r="B250" s="18">
        <v>21700</v>
      </c>
      <c r="C250" s="18">
        <v>21700</v>
      </c>
      <c r="D250" s="18">
        <v>21700</v>
      </c>
      <c r="E250" s="18">
        <v>21700</v>
      </c>
      <c r="F250" s="18">
        <v>21700</v>
      </c>
      <c r="G250" s="18">
        <v>21700</v>
      </c>
      <c r="H250" s="18">
        <v>21700</v>
      </c>
      <c r="I250" s="18">
        <v>21700</v>
      </c>
      <c r="J250" s="18">
        <v>21700</v>
      </c>
      <c r="K250" s="18">
        <v>21700</v>
      </c>
      <c r="L250" s="18">
        <v>21700</v>
      </c>
      <c r="M250" s="18">
        <v>21700</v>
      </c>
      <c r="N250" s="18">
        <f t="shared" si="56"/>
        <v>260400</v>
      </c>
    </row>
    <row r="251" spans="1:14" ht="18">
      <c r="A251" s="33" t="str">
        <f t="shared" si="53"/>
        <v>Renewable Energy Costs</v>
      </c>
      <c r="B251" s="18">
        <v>3419069.2254321133</v>
      </c>
      <c r="C251" s="18">
        <v>2688486.687550774</v>
      </c>
      <c r="D251" s="18">
        <v>3520420.1337679126</v>
      </c>
      <c r="E251" s="18">
        <v>2721760.5487831165</v>
      </c>
      <c r="F251" s="18">
        <v>2715423.358667635</v>
      </c>
      <c r="G251" s="18">
        <v>2552317.431448162</v>
      </c>
      <c r="H251" s="18">
        <v>1675081.7471870445</v>
      </c>
      <c r="I251" s="18">
        <v>2147138.2328335247</v>
      </c>
      <c r="J251" s="18">
        <v>2838024.684465039</v>
      </c>
      <c r="K251" s="18">
        <v>3802766.361933884</v>
      </c>
      <c r="L251" s="18">
        <v>3747160.102791521</v>
      </c>
      <c r="M251" s="18">
        <v>3272136.4810934584</v>
      </c>
      <c r="N251" s="18">
        <f>SUM(B251:M251)</f>
        <v>35099784.99595418</v>
      </c>
    </row>
    <row r="252" spans="1:14" ht="18" customHeight="1" hidden="1">
      <c r="A252" s="108" t="s">
        <v>192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f aca="true" t="shared" si="57" ref="H252:M252">-H265</f>
        <v>0</v>
      </c>
      <c r="I252" s="18">
        <f t="shared" si="57"/>
        <v>0</v>
      </c>
      <c r="J252" s="18">
        <v>0</v>
      </c>
      <c r="K252" s="18">
        <v>0</v>
      </c>
      <c r="L252" s="18">
        <v>0</v>
      </c>
      <c r="M252" s="18">
        <f t="shared" si="57"/>
        <v>0</v>
      </c>
      <c r="N252" s="18">
        <f>SUM(B252:M252)</f>
        <v>0</v>
      </c>
    </row>
    <row r="253" spans="1:15" ht="18">
      <c r="A253" s="33"/>
      <c r="B253" s="88">
        <v>13098703.324017724</v>
      </c>
      <c r="C253" s="88">
        <v>11911529.973362122</v>
      </c>
      <c r="D253" s="88">
        <v>12362410.641635336</v>
      </c>
      <c r="E253" s="88">
        <v>10464239.184423111</v>
      </c>
      <c r="F253" s="88">
        <v>10532394.864863077</v>
      </c>
      <c r="G253" s="88">
        <v>10354005.469737288</v>
      </c>
      <c r="H253" s="88">
        <v>10805042.2703326</v>
      </c>
      <c r="I253" s="88">
        <v>10756014.484365724</v>
      </c>
      <c r="J253" s="88">
        <v>10281270.524416048</v>
      </c>
      <c r="K253" s="88">
        <v>10705129.24966308</v>
      </c>
      <c r="L253" s="88">
        <v>11748144.53955193</v>
      </c>
      <c r="M253" s="88">
        <v>13490829.281565065</v>
      </c>
      <c r="N253" s="88">
        <f>SUM(N244:N252)</f>
        <v>136509713.80793312</v>
      </c>
      <c r="O253" s="89">
        <v>136509713.8079331</v>
      </c>
    </row>
    <row r="254" spans="1:14" ht="18">
      <c r="A254" s="33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 ht="18" hidden="1">
      <c r="A255" s="33" t="str">
        <f>+A192</f>
        <v>Current Month Replacement Energy Costs</v>
      </c>
      <c r="B255" s="118">
        <v>0</v>
      </c>
      <c r="C255" s="118">
        <v>0</v>
      </c>
      <c r="D255" s="118">
        <v>0</v>
      </c>
      <c r="E255" s="118">
        <v>0</v>
      </c>
      <c r="F255" s="118">
        <v>0</v>
      </c>
      <c r="G255" s="118">
        <v>0</v>
      </c>
      <c r="H255" s="118">
        <v>0</v>
      </c>
      <c r="I255" s="118">
        <v>0</v>
      </c>
      <c r="J255" s="118">
        <v>0</v>
      </c>
      <c r="K255" s="118">
        <v>0</v>
      </c>
      <c r="L255" s="118">
        <v>0</v>
      </c>
      <c r="M255" s="118">
        <v>0</v>
      </c>
      <c r="N255" s="139">
        <f>SUM(B255:M255)</f>
        <v>0</v>
      </c>
    </row>
    <row r="256" spans="1:14" ht="18" hidden="1">
      <c r="A256" s="33" t="str">
        <f>+A193</f>
        <v>Total Energy Costs - Incl Pt Lepreau Replacement</v>
      </c>
      <c r="B256" s="89">
        <f aca="true" t="shared" si="58" ref="B256:M256">+B253+B255</f>
        <v>13098703.324017724</v>
      </c>
      <c r="C256" s="89">
        <f t="shared" si="58"/>
        <v>11911529.973362122</v>
      </c>
      <c r="D256" s="89">
        <f t="shared" si="58"/>
        <v>12362410.641635336</v>
      </c>
      <c r="E256" s="89">
        <f t="shared" si="58"/>
        <v>10464239.184423111</v>
      </c>
      <c r="F256" s="89">
        <f t="shared" si="58"/>
        <v>10532394.864863077</v>
      </c>
      <c r="G256" s="89">
        <f t="shared" si="58"/>
        <v>10354005.469737288</v>
      </c>
      <c r="H256" s="89">
        <f t="shared" si="58"/>
        <v>10805042.2703326</v>
      </c>
      <c r="I256" s="89">
        <f t="shared" si="58"/>
        <v>10756014.484365724</v>
      </c>
      <c r="J256" s="89">
        <f t="shared" si="58"/>
        <v>10281270.524416048</v>
      </c>
      <c r="K256" s="89">
        <f t="shared" si="58"/>
        <v>10705129.24966308</v>
      </c>
      <c r="L256" s="89">
        <f t="shared" si="58"/>
        <v>11748144.53955193</v>
      </c>
      <c r="M256" s="89">
        <f t="shared" si="58"/>
        <v>13490829.281565065</v>
      </c>
      <c r="N256" s="127">
        <f>SUM(B256:M256)</f>
        <v>136509713.80793312</v>
      </c>
    </row>
    <row r="257" ht="18" hidden="1">
      <c r="A257" s="33"/>
    </row>
    <row r="258" spans="1:15" ht="18">
      <c r="A258" s="33" t="str">
        <f>+A195</f>
        <v>Net Purchased &amp; Produced Energy - kWh (NPP)</v>
      </c>
      <c r="B258" s="18">
        <v>140163047.65475157</v>
      </c>
      <c r="C258" s="18">
        <v>124189700.33604904</v>
      </c>
      <c r="D258" s="18">
        <v>130003826.75631678</v>
      </c>
      <c r="E258" s="18">
        <v>107576339.10111476</v>
      </c>
      <c r="F258" s="18">
        <v>109140373.10890606</v>
      </c>
      <c r="G258" s="18">
        <v>106182308.7898225</v>
      </c>
      <c r="H258" s="18">
        <v>113827475.0235595</v>
      </c>
      <c r="I258" s="18">
        <v>112386443.69029395</v>
      </c>
      <c r="J258" s="18">
        <v>104749277.63050987</v>
      </c>
      <c r="K258" s="18">
        <v>109655384.30712382</v>
      </c>
      <c r="L258" s="18">
        <v>120879628.36303797</v>
      </c>
      <c r="M258" s="18">
        <v>144341138.5016519</v>
      </c>
      <c r="N258" s="18">
        <v>1423094943.2631376</v>
      </c>
      <c r="O258" s="89">
        <v>136509713.8079331</v>
      </c>
    </row>
    <row r="259" spans="1:14" ht="18">
      <c r="A259" s="33" t="str">
        <f>+A196</f>
        <v>Base Rate/kWh</v>
      </c>
      <c r="B259" s="147">
        <v>0.09475</v>
      </c>
      <c r="C259" s="147">
        <v>0.09475</v>
      </c>
      <c r="D259" s="147">
        <v>0.09591</v>
      </c>
      <c r="E259" s="147">
        <v>0.09591</v>
      </c>
      <c r="F259" s="147">
        <v>0.09591</v>
      </c>
      <c r="G259" s="147">
        <v>0.09591</v>
      </c>
      <c r="H259" s="147">
        <v>0.09591</v>
      </c>
      <c r="I259" s="147">
        <v>0.09591</v>
      </c>
      <c r="J259" s="147">
        <v>0.09591</v>
      </c>
      <c r="K259" s="147">
        <v>0.09591</v>
      </c>
      <c r="L259" s="147">
        <v>0.09591</v>
      </c>
      <c r="M259" s="147">
        <v>0.09591</v>
      </c>
      <c r="N259" s="147">
        <f>+N260/N258</f>
        <v>0.09569451951563669</v>
      </c>
    </row>
    <row r="260" spans="1:14" ht="18">
      <c r="A260" s="33" t="str">
        <f>+A197</f>
        <v>Base Energy Costs </v>
      </c>
      <c r="B260" s="90">
        <f>+B258*B259</f>
        <v>13280448.765287712</v>
      </c>
      <c r="C260" s="90">
        <f aca="true" t="shared" si="59" ref="C260:M260">+C258*C259</f>
        <v>11766974.106840646</v>
      </c>
      <c r="D260" s="90">
        <f t="shared" si="59"/>
        <v>12468667.024198342</v>
      </c>
      <c r="E260" s="90">
        <f t="shared" si="59"/>
        <v>10317646.683187917</v>
      </c>
      <c r="F260" s="90">
        <f t="shared" si="59"/>
        <v>10467653.18487518</v>
      </c>
      <c r="G260" s="90">
        <f t="shared" si="59"/>
        <v>10183945.236031875</v>
      </c>
      <c r="H260" s="90">
        <f t="shared" si="59"/>
        <v>10917193.12950959</v>
      </c>
      <c r="I260" s="90">
        <f t="shared" si="59"/>
        <v>10778983.814336093</v>
      </c>
      <c r="J260" s="90">
        <f t="shared" si="59"/>
        <v>10046503.217542201</v>
      </c>
      <c r="K260" s="90">
        <f t="shared" si="59"/>
        <v>10517047.908896245</v>
      </c>
      <c r="L260" s="90">
        <f t="shared" si="59"/>
        <v>11593565.15629897</v>
      </c>
      <c r="M260" s="90">
        <f t="shared" si="59"/>
        <v>13843758.593693435</v>
      </c>
      <c r="N260" s="90">
        <f>SUM(B260:M260)</f>
        <v>136182386.8206982</v>
      </c>
    </row>
    <row r="261" ht="9" customHeight="1">
      <c r="A261" s="33"/>
    </row>
    <row r="262" spans="1:17" ht="18.75" thickBot="1">
      <c r="A262" s="33" t="str">
        <f>+A199</f>
        <v>Difference Between Actual &amp; Base Energy Costs</v>
      </c>
      <c r="B262" s="91">
        <f>+B256-B260</f>
        <v>-181745.4412699882</v>
      </c>
      <c r="C262" s="91">
        <f aca="true" t="shared" si="60" ref="C262:N262">+C256-C260</f>
        <v>144555.86652147584</v>
      </c>
      <c r="D262" s="91">
        <f t="shared" si="60"/>
        <v>-106256.38256300613</v>
      </c>
      <c r="E262" s="91">
        <f t="shared" si="60"/>
        <v>146592.5012351945</v>
      </c>
      <c r="F262" s="91">
        <f t="shared" si="60"/>
        <v>64741.6799878981</v>
      </c>
      <c r="G262" s="91">
        <f t="shared" si="60"/>
        <v>170060.2337054126</v>
      </c>
      <c r="H262" s="91">
        <f t="shared" si="60"/>
        <v>-112150.85917698964</v>
      </c>
      <c r="I262" s="91">
        <f t="shared" si="60"/>
        <v>-22969.329970369115</v>
      </c>
      <c r="J262" s="91">
        <f t="shared" si="60"/>
        <v>234767.3068738468</v>
      </c>
      <c r="K262" s="91">
        <f t="shared" si="60"/>
        <v>188081.3407668341</v>
      </c>
      <c r="L262" s="91">
        <f t="shared" si="60"/>
        <v>154579.3832529597</v>
      </c>
      <c r="M262" s="91">
        <f t="shared" si="60"/>
        <v>-352929.3121283706</v>
      </c>
      <c r="N262" s="91">
        <f t="shared" si="60"/>
        <v>327326.98723492026</v>
      </c>
      <c r="Q262" s="89"/>
    </row>
    <row r="263" ht="12.75" customHeight="1" thickTop="1">
      <c r="E263" s="89"/>
    </row>
    <row r="264" spans="1:14" ht="17.25" customHeight="1" hidden="1">
      <c r="A264" s="33" t="str">
        <f>+A201</f>
        <v>Opening Balance - Pt Lepreau Replacement Costs</v>
      </c>
      <c r="B264" s="89">
        <f>+N203</f>
        <v>0</v>
      </c>
      <c r="C264" s="89">
        <f>+B266</f>
        <v>0</v>
      </c>
      <c r="D264" s="89">
        <f aca="true" t="shared" si="61" ref="D264:M264">+C266</f>
        <v>0</v>
      </c>
      <c r="E264" s="89">
        <f t="shared" si="61"/>
        <v>0</v>
      </c>
      <c r="F264" s="89">
        <f t="shared" si="61"/>
        <v>0</v>
      </c>
      <c r="G264" s="89">
        <f t="shared" si="61"/>
        <v>0</v>
      </c>
      <c r="H264" s="89">
        <f t="shared" si="61"/>
        <v>0</v>
      </c>
      <c r="I264" s="89">
        <f t="shared" si="61"/>
        <v>0</v>
      </c>
      <c r="J264" s="89">
        <f t="shared" si="61"/>
        <v>0</v>
      </c>
      <c r="K264" s="89">
        <f t="shared" si="61"/>
        <v>0</v>
      </c>
      <c r="L264" s="89">
        <f t="shared" si="61"/>
        <v>0</v>
      </c>
      <c r="M264" s="89">
        <f t="shared" si="61"/>
        <v>0</v>
      </c>
      <c r="N264" s="128">
        <f>+B264</f>
        <v>0</v>
      </c>
    </row>
    <row r="265" spans="1:14" ht="17.25" customHeight="1" hidden="1">
      <c r="A265" s="33" t="str">
        <f>+A202</f>
        <v>Additions (Reductions)</v>
      </c>
      <c r="B265" s="114">
        <v>0</v>
      </c>
      <c r="C265" s="114">
        <v>0</v>
      </c>
      <c r="D265" s="114">
        <v>0</v>
      </c>
      <c r="E265" s="114">
        <v>0</v>
      </c>
      <c r="F265" s="114">
        <v>0</v>
      </c>
      <c r="G265" s="114">
        <v>0</v>
      </c>
      <c r="H265" s="114">
        <v>0</v>
      </c>
      <c r="I265" s="114">
        <v>0</v>
      </c>
      <c r="J265" s="114">
        <v>0</v>
      </c>
      <c r="K265" s="114">
        <v>0</v>
      </c>
      <c r="L265" s="114">
        <v>0</v>
      </c>
      <c r="M265" s="114">
        <v>0</v>
      </c>
      <c r="N265" s="131">
        <f>SUM(B265:M265)</f>
        <v>0</v>
      </c>
    </row>
    <row r="266" spans="1:14" ht="17.25" customHeight="1" hidden="1">
      <c r="A266" s="33" t="str">
        <f>+A203</f>
        <v>Closing Balance - Pt Lepreau Replacement Costs</v>
      </c>
      <c r="B266" s="89">
        <f>+B264+B265</f>
        <v>0</v>
      </c>
      <c r="C266" s="89">
        <f aca="true" t="shared" si="62" ref="C266:M266">+C264+C265</f>
        <v>0</v>
      </c>
      <c r="D266" s="89">
        <f t="shared" si="62"/>
        <v>0</v>
      </c>
      <c r="E266" s="89">
        <f t="shared" si="62"/>
        <v>0</v>
      </c>
      <c r="F266" s="89">
        <f t="shared" si="62"/>
        <v>0</v>
      </c>
      <c r="G266" s="89">
        <f t="shared" si="62"/>
        <v>0</v>
      </c>
      <c r="H266" s="89">
        <f t="shared" si="62"/>
        <v>0</v>
      </c>
      <c r="I266" s="89">
        <f t="shared" si="62"/>
        <v>0</v>
      </c>
      <c r="J266" s="89">
        <f t="shared" si="62"/>
        <v>0</v>
      </c>
      <c r="K266" s="89">
        <f t="shared" si="62"/>
        <v>0</v>
      </c>
      <c r="L266" s="89">
        <f t="shared" si="62"/>
        <v>0</v>
      </c>
      <c r="M266" s="89">
        <f t="shared" si="62"/>
        <v>0</v>
      </c>
      <c r="N266" s="128">
        <f>+N264+N265</f>
        <v>0</v>
      </c>
    </row>
    <row r="267" ht="18" customHeight="1" hidden="1"/>
    <row r="268" spans="1:14" ht="18">
      <c r="A268" s="33" t="str">
        <f>+A205</f>
        <v>Opening Balance - ECAM</v>
      </c>
      <c r="B268" s="18">
        <f>+M208</f>
        <v>1950864.2432425038</v>
      </c>
      <c r="C268" s="89">
        <f>+B271</f>
        <v>1540781.8242713967</v>
      </c>
      <c r="D268" s="89">
        <f aca="true" t="shared" si="63" ref="D268:M268">+C271</f>
        <v>1459417.6741542944</v>
      </c>
      <c r="E268" s="89">
        <f t="shared" si="63"/>
        <v>1181876.445780164</v>
      </c>
      <c r="F268" s="89">
        <f t="shared" si="63"/>
        <v>1159892.2737000864</v>
      </c>
      <c r="G268" s="89">
        <f t="shared" si="63"/>
        <v>1072226.2750942954</v>
      </c>
      <c r="H268" s="89">
        <f t="shared" si="63"/>
        <v>1097838.3128390498</v>
      </c>
      <c r="I268" s="89">
        <f t="shared" si="63"/>
        <v>838198.7203089929</v>
      </c>
      <c r="J268" s="89">
        <f t="shared" si="63"/>
        <v>660105.075379086</v>
      </c>
      <c r="K268" s="89">
        <f t="shared" si="63"/>
        <v>740951.6415562476</v>
      </c>
      <c r="L268" s="89">
        <f t="shared" si="63"/>
        <v>784381.6594632051</v>
      </c>
      <c r="M268" s="89">
        <f t="shared" si="63"/>
        <v>787634.2108770127</v>
      </c>
      <c r="N268" s="89">
        <f>+B268</f>
        <v>1950864.2432425038</v>
      </c>
    </row>
    <row r="269" spans="1:14" ht="18">
      <c r="A269" s="33" t="str">
        <f>+A206</f>
        <v>Additions/(Reductions)</v>
      </c>
      <c r="B269" s="89">
        <f>+B262</f>
        <v>-181745.4412699882</v>
      </c>
      <c r="C269" s="89">
        <f>+C262</f>
        <v>144555.86652147584</v>
      </c>
      <c r="D269" s="89">
        <f aca="true" t="shared" si="64" ref="D269:M269">+D262</f>
        <v>-106256.38256300613</v>
      </c>
      <c r="E269" s="89">
        <f t="shared" si="64"/>
        <v>146592.5012351945</v>
      </c>
      <c r="F269" s="89">
        <f t="shared" si="64"/>
        <v>64741.6799878981</v>
      </c>
      <c r="G269" s="89">
        <f t="shared" si="64"/>
        <v>170060.2337054126</v>
      </c>
      <c r="H269" s="89">
        <f t="shared" si="64"/>
        <v>-112150.85917698964</v>
      </c>
      <c r="I269" s="89">
        <f t="shared" si="64"/>
        <v>-22969.329970369115</v>
      </c>
      <c r="J269" s="89">
        <f t="shared" si="64"/>
        <v>234767.3068738468</v>
      </c>
      <c r="K269" s="89">
        <f t="shared" si="64"/>
        <v>188081.3407668341</v>
      </c>
      <c r="L269" s="89">
        <f t="shared" si="64"/>
        <v>154579.3832529597</v>
      </c>
      <c r="M269" s="89">
        <f t="shared" si="64"/>
        <v>-352929.3121283706</v>
      </c>
      <c r="N269" s="89">
        <f>SUM(B269:M269)</f>
        <v>327326.9872348979</v>
      </c>
    </row>
    <row r="270" spans="1:14" ht="18">
      <c r="A270" s="33" t="str">
        <f>+A207</f>
        <v>Rebated/(Collected) From Ratepayer</v>
      </c>
      <c r="B270" s="112">
        <v>-228336.97770111886</v>
      </c>
      <c r="C270" s="112">
        <v>-225920.0166385781</v>
      </c>
      <c r="D270" s="112">
        <v>-171284.84581112428</v>
      </c>
      <c r="E270" s="112">
        <v>-168576.67331527217</v>
      </c>
      <c r="F270" s="112">
        <v>-152407.6785936892</v>
      </c>
      <c r="G270" s="112">
        <v>-144448.19596065817</v>
      </c>
      <c r="H270" s="112">
        <v>-147488.73335306728</v>
      </c>
      <c r="I270" s="112">
        <v>-155124.3149595378</v>
      </c>
      <c r="J270" s="112">
        <v>-153920.74069668516</v>
      </c>
      <c r="K270" s="112">
        <v>-144651.32285987656</v>
      </c>
      <c r="L270" s="112">
        <v>-151326.83183915215</v>
      </c>
      <c r="M270" s="112">
        <v>-184741.3071695561</v>
      </c>
      <c r="N270" s="112">
        <f>SUM(B270:M270)</f>
        <v>-2028227.6388983158</v>
      </c>
    </row>
    <row r="271" spans="1:14" ht="18.75" thickBot="1">
      <c r="A271" s="33" t="str">
        <f>+A208</f>
        <v>Closing Balance - ECAM </v>
      </c>
      <c r="B271" s="176">
        <f>SUM(B268:B270)</f>
        <v>1540781.8242713967</v>
      </c>
      <c r="C271" s="176">
        <f aca="true" t="shared" si="65" ref="C271:N271">SUM(C268:C270)</f>
        <v>1459417.6741542944</v>
      </c>
      <c r="D271" s="176">
        <f t="shared" si="65"/>
        <v>1181876.445780164</v>
      </c>
      <c r="E271" s="176">
        <f t="shared" si="65"/>
        <v>1159892.2737000864</v>
      </c>
      <c r="F271" s="176">
        <f t="shared" si="65"/>
        <v>1072226.2750942954</v>
      </c>
      <c r="G271" s="176">
        <f t="shared" si="65"/>
        <v>1097838.3128390498</v>
      </c>
      <c r="H271" s="176">
        <f t="shared" si="65"/>
        <v>838198.7203089929</v>
      </c>
      <c r="I271" s="176">
        <f t="shared" si="65"/>
        <v>660105.075379086</v>
      </c>
      <c r="J271" s="176">
        <f t="shared" si="65"/>
        <v>740951.6415562476</v>
      </c>
      <c r="K271" s="176">
        <f t="shared" si="65"/>
        <v>784381.6594632051</v>
      </c>
      <c r="L271" s="176">
        <f t="shared" si="65"/>
        <v>787634.2108770127</v>
      </c>
      <c r="M271" s="176">
        <f t="shared" si="65"/>
        <v>249963.59157908597</v>
      </c>
      <c r="N271" s="176">
        <f t="shared" si="65"/>
        <v>249963.59157908615</v>
      </c>
    </row>
    <row r="272" spans="1:14" ht="18" customHeight="1" hidden="1" thickBot="1">
      <c r="A272" s="33" t="str">
        <f>+A209</f>
        <v>General Ledger Closing Balance</v>
      </c>
      <c r="B272" s="169">
        <f>+B266+B271</f>
        <v>1540781.8242713967</v>
      </c>
      <c r="C272" s="169">
        <f aca="true" t="shared" si="66" ref="C272:N272">+C266+C271</f>
        <v>1459417.6741542944</v>
      </c>
      <c r="D272" s="169">
        <f t="shared" si="66"/>
        <v>1181876.445780164</v>
      </c>
      <c r="E272" s="169">
        <f t="shared" si="66"/>
        <v>1159892.2737000864</v>
      </c>
      <c r="F272" s="169">
        <f t="shared" si="66"/>
        <v>1072226.2750942954</v>
      </c>
      <c r="G272" s="169">
        <f t="shared" si="66"/>
        <v>1097838.3128390498</v>
      </c>
      <c r="H272" s="169">
        <f t="shared" si="66"/>
        <v>838198.7203089929</v>
      </c>
      <c r="I272" s="169">
        <f t="shared" si="66"/>
        <v>660105.075379086</v>
      </c>
      <c r="J272" s="169">
        <f t="shared" si="66"/>
        <v>740951.6415562476</v>
      </c>
      <c r="K272" s="169">
        <f t="shared" si="66"/>
        <v>784381.6594632051</v>
      </c>
      <c r="L272" s="169">
        <f t="shared" si="66"/>
        <v>787634.2108770127</v>
      </c>
      <c r="M272" s="169">
        <f t="shared" si="66"/>
        <v>249963.59157908597</v>
      </c>
      <c r="N272" s="169">
        <f t="shared" si="66"/>
        <v>249963.59157908615</v>
      </c>
    </row>
    <row r="273" ht="18" customHeight="1" thickTop="1">
      <c r="A273" s="108"/>
    </row>
    <row r="274" spans="1:14" ht="18.75" thickBot="1">
      <c r="A274" s="33" t="s">
        <v>213</v>
      </c>
      <c r="B274" s="106">
        <v>1.159768795782987</v>
      </c>
      <c r="C274" s="106">
        <v>1.159768795782987</v>
      </c>
      <c r="D274" s="106">
        <v>0.9590489961446751</v>
      </c>
      <c r="E274" s="106">
        <v>0.9590489961446751</v>
      </c>
      <c r="F274" s="106">
        <v>0.9590489961446751</v>
      </c>
      <c r="G274" s="106">
        <v>0.9590489961446751</v>
      </c>
      <c r="H274" s="106">
        <v>0.9590489961446751</v>
      </c>
      <c r="I274" s="106">
        <v>0.9590489961446751</v>
      </c>
      <c r="J274" s="106">
        <v>0.9590489961446751</v>
      </c>
      <c r="K274" s="106">
        <v>0.9590489961446751</v>
      </c>
      <c r="L274" s="106">
        <v>0.9590489961446751</v>
      </c>
      <c r="M274" s="106">
        <v>0.9590489961446751</v>
      </c>
      <c r="N274" s="106">
        <f>SUM(B274:M274)</f>
        <v>11.910027553012727</v>
      </c>
    </row>
    <row r="275" ht="7.5" customHeight="1" thickTop="1">
      <c r="A275" s="111"/>
    </row>
    <row r="276" spans="1:14" ht="18.75" hidden="1" thickBot="1">
      <c r="A276" s="33" t="s">
        <v>212</v>
      </c>
      <c r="B276" s="106">
        <v>17.842596858199798</v>
      </c>
      <c r="C276" s="106">
        <v>17.842596858199798</v>
      </c>
      <c r="D276" s="106">
        <v>14.754599940687308</v>
      </c>
      <c r="E276" s="106">
        <v>14.754599940687308</v>
      </c>
      <c r="F276" s="106">
        <v>14.754599940687308</v>
      </c>
      <c r="G276" s="106">
        <v>14.754599940687308</v>
      </c>
      <c r="H276" s="106">
        <v>14.754599940687308</v>
      </c>
      <c r="I276" s="106">
        <v>14.754599940687308</v>
      </c>
      <c r="J276" s="106">
        <v>14.754599940687308</v>
      </c>
      <c r="K276" s="106">
        <v>14.754599940687308</v>
      </c>
      <c r="L276" s="106">
        <v>14.754599940687308</v>
      </c>
      <c r="M276" s="106">
        <v>14.754599940687308</v>
      </c>
      <c r="N276" s="106">
        <f>SUM(B276:M276)</f>
        <v>183.2311931232727</v>
      </c>
    </row>
    <row r="277" spans="1:14" ht="14.25" hidden="1">
      <c r="A277" s="108" t="e">
        <f>+A215</f>
        <v>#REF!</v>
      </c>
      <c r="B277" s="135">
        <f>+B266</f>
        <v>0</v>
      </c>
      <c r="C277" s="135">
        <f aca="true" t="shared" si="67" ref="C277:M277">+C266</f>
        <v>0</v>
      </c>
      <c r="D277" s="135">
        <f t="shared" si="67"/>
        <v>0</v>
      </c>
      <c r="E277" s="135">
        <f t="shared" si="67"/>
        <v>0</v>
      </c>
      <c r="F277" s="135">
        <f t="shared" si="67"/>
        <v>0</v>
      </c>
      <c r="G277" s="135">
        <f t="shared" si="67"/>
        <v>0</v>
      </c>
      <c r="H277" s="135">
        <f t="shared" si="67"/>
        <v>0</v>
      </c>
      <c r="I277" s="135">
        <f t="shared" si="67"/>
        <v>0</v>
      </c>
      <c r="J277" s="135">
        <f t="shared" si="67"/>
        <v>0</v>
      </c>
      <c r="K277" s="135">
        <f t="shared" si="67"/>
        <v>0</v>
      </c>
      <c r="L277" s="135">
        <f t="shared" si="67"/>
        <v>0</v>
      </c>
      <c r="M277" s="135">
        <f t="shared" si="67"/>
        <v>0</v>
      </c>
      <c r="N277" s="135">
        <f>+M277</f>
        <v>0</v>
      </c>
    </row>
    <row r="278" spans="1:14" ht="14.25" hidden="1">
      <c r="A278" s="108" t="str">
        <f>+A216</f>
        <v>Regular ECAM</v>
      </c>
      <c r="B278" s="135">
        <f>+B271</f>
        <v>1540781.8242713967</v>
      </c>
      <c r="C278" s="135">
        <f aca="true" t="shared" si="68" ref="C278:N278">+C271</f>
        <v>1459417.6741542944</v>
      </c>
      <c r="D278" s="135">
        <f t="shared" si="68"/>
        <v>1181876.445780164</v>
      </c>
      <c r="E278" s="135">
        <f t="shared" si="68"/>
        <v>1159892.2737000864</v>
      </c>
      <c r="F278" s="135">
        <f t="shared" si="68"/>
        <v>1072226.2750942954</v>
      </c>
      <c r="G278" s="135">
        <f t="shared" si="68"/>
        <v>1097838.3128390498</v>
      </c>
      <c r="H278" s="135">
        <f t="shared" si="68"/>
        <v>838198.7203089929</v>
      </c>
      <c r="I278" s="135">
        <f t="shared" si="68"/>
        <v>660105.075379086</v>
      </c>
      <c r="J278" s="135">
        <f t="shared" si="68"/>
        <v>740951.6415562476</v>
      </c>
      <c r="K278" s="135">
        <f t="shared" si="68"/>
        <v>784381.6594632051</v>
      </c>
      <c r="L278" s="135">
        <f t="shared" si="68"/>
        <v>787634.2108770127</v>
      </c>
      <c r="M278" s="135">
        <f t="shared" si="68"/>
        <v>249963.59157908597</v>
      </c>
      <c r="N278" s="135">
        <f t="shared" si="68"/>
        <v>249963.59157908615</v>
      </c>
    </row>
    <row r="279" spans="1:14" ht="14.25" hidden="1">
      <c r="A279" s="108" t="str">
        <f>+A217</f>
        <v>Total ECAM</v>
      </c>
      <c r="B279" s="134">
        <f>SUM(B277:B278)</f>
        <v>1540781.8242713967</v>
      </c>
      <c r="C279" s="134">
        <f aca="true" t="shared" si="69" ref="C279:N279">SUM(C277:C278)</f>
        <v>1459417.6741542944</v>
      </c>
      <c r="D279" s="134">
        <f t="shared" si="69"/>
        <v>1181876.445780164</v>
      </c>
      <c r="E279" s="134">
        <f t="shared" si="69"/>
        <v>1159892.2737000864</v>
      </c>
      <c r="F279" s="134">
        <f t="shared" si="69"/>
        <v>1072226.2750942954</v>
      </c>
      <c r="G279" s="134">
        <f t="shared" si="69"/>
        <v>1097838.3128390498</v>
      </c>
      <c r="H279" s="134">
        <f t="shared" si="69"/>
        <v>838198.7203089929</v>
      </c>
      <c r="I279" s="134">
        <f t="shared" si="69"/>
        <v>660105.075379086</v>
      </c>
      <c r="J279" s="134">
        <f t="shared" si="69"/>
        <v>740951.6415562476</v>
      </c>
      <c r="K279" s="134">
        <f t="shared" si="69"/>
        <v>784381.6594632051</v>
      </c>
      <c r="L279" s="134">
        <f t="shared" si="69"/>
        <v>787634.2108770127</v>
      </c>
      <c r="M279" s="134">
        <f t="shared" si="69"/>
        <v>249963.59157908597</v>
      </c>
      <c r="N279" s="134">
        <f t="shared" si="69"/>
        <v>249963.59157908615</v>
      </c>
    </row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>
      <c r="N309">
        <f>+N253/N258</f>
        <v>0.09592453016164768</v>
      </c>
    </row>
    <row r="314" ht="12.75" hidden="1"/>
    <row r="315" ht="12.75" hidden="1"/>
    <row r="316" spans="1:14" ht="18" hidden="1">
      <c r="A316" s="87" t="str">
        <f>+A243</f>
        <v>Energy Cost Adjustment Mechanism</v>
      </c>
      <c r="B316" s="78">
        <f>+B243+365</f>
        <v>44591</v>
      </c>
      <c r="C316" s="78">
        <f aca="true" t="shared" si="70" ref="C316:M316">+C243+365</f>
        <v>44619</v>
      </c>
      <c r="D316" s="78">
        <f t="shared" si="70"/>
        <v>44648</v>
      </c>
      <c r="E316" s="78">
        <f t="shared" si="70"/>
        <v>44677</v>
      </c>
      <c r="F316" s="78">
        <f t="shared" si="70"/>
        <v>44706</v>
      </c>
      <c r="G316" s="78">
        <f t="shared" si="70"/>
        <v>44735</v>
      </c>
      <c r="H316" s="78">
        <f t="shared" si="70"/>
        <v>44764</v>
      </c>
      <c r="I316" s="78">
        <f t="shared" si="70"/>
        <v>44793</v>
      </c>
      <c r="J316" s="78">
        <f t="shared" si="70"/>
        <v>44822</v>
      </c>
      <c r="K316" s="78">
        <f t="shared" si="70"/>
        <v>44851</v>
      </c>
      <c r="L316" s="78">
        <f t="shared" si="70"/>
        <v>44880</v>
      </c>
      <c r="M316" s="78">
        <f t="shared" si="70"/>
        <v>44909</v>
      </c>
      <c r="N316" s="78" t="s">
        <v>109</v>
      </c>
    </row>
    <row r="317" spans="1:14" ht="18" hidden="1">
      <c r="A317" s="33" t="str">
        <f aca="true" t="shared" si="71" ref="A317:A324">+A244</f>
        <v>Purchased Energy Costs</v>
      </c>
      <c r="B317" s="18">
        <f>+B326-SUM(B318:B324)</f>
        <v>7496916.910062548</v>
      </c>
      <c r="C317" s="18">
        <f aca="true" t="shared" si="72" ref="C317:M317">+C326-SUM(C318:C324)</f>
        <v>7089733.806652691</v>
      </c>
      <c r="D317" s="18">
        <f t="shared" si="72"/>
        <v>6668820.054619711</v>
      </c>
      <c r="E317" s="18">
        <f t="shared" si="72"/>
        <v>7377311.55125398</v>
      </c>
      <c r="F317" s="18">
        <f t="shared" si="72"/>
        <v>5910622.250461649</v>
      </c>
      <c r="G317" s="18">
        <f t="shared" si="72"/>
        <v>5918471.424328985</v>
      </c>
      <c r="H317" s="18">
        <f t="shared" si="72"/>
        <v>7216409.538532112</v>
      </c>
      <c r="I317" s="18">
        <f t="shared" si="72"/>
        <v>6697735.416533597</v>
      </c>
      <c r="J317" s="18">
        <f t="shared" si="72"/>
        <v>5521824.131348696</v>
      </c>
      <c r="K317" s="18">
        <f t="shared" si="72"/>
        <v>4993096.583249431</v>
      </c>
      <c r="L317" s="18">
        <f t="shared" si="72"/>
        <v>5965548.416082863</v>
      </c>
      <c r="M317" s="18">
        <f t="shared" si="72"/>
        <v>8066623.910845058</v>
      </c>
      <c r="N317" s="18">
        <f aca="true" t="shared" si="73" ref="N317:N323">SUM(B317:M317)</f>
        <v>78923113.9939713</v>
      </c>
    </row>
    <row r="318" spans="1:14" ht="18" hidden="1">
      <c r="A318" s="33" t="str">
        <f t="shared" si="71"/>
        <v>Lepreau Energy Costs</v>
      </c>
      <c r="B318" s="18">
        <v>1935233.7065242105</v>
      </c>
      <c r="C318" s="18">
        <v>1933905.771053434</v>
      </c>
      <c r="D318" s="18">
        <v>1933654.2926712558</v>
      </c>
      <c r="E318" s="18">
        <v>1932685.1762300122</v>
      </c>
      <c r="F318" s="18">
        <v>1932074.8788183015</v>
      </c>
      <c r="G318" s="18">
        <v>1931105.7623770577</v>
      </c>
      <c r="H318" s="18">
        <v>1930495.4649653467</v>
      </c>
      <c r="I318" s="18">
        <v>1929705.7580388694</v>
      </c>
      <c r="J318" s="18">
        <v>1928736.6415976258</v>
      </c>
      <c r="K318" s="18">
        <v>1928126.3441859148</v>
      </c>
      <c r="L318" s="18">
        <v>1927157.2277446713</v>
      </c>
      <c r="M318" s="18">
        <v>1926546.93033296</v>
      </c>
      <c r="N318" s="18">
        <f t="shared" si="73"/>
        <v>23169427.95453966</v>
      </c>
    </row>
    <row r="319" spans="1:14" ht="18" hidden="1">
      <c r="A319" s="33" t="str">
        <f t="shared" si="71"/>
        <v>Dalhousie Energy Costs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>
        <f t="shared" si="73"/>
        <v>0</v>
      </c>
    </row>
    <row r="320" spans="1:14" ht="18" hidden="1">
      <c r="A320" s="33" t="str">
        <f t="shared" si="71"/>
        <v>Generation Fuel Costs-PEI Plants</v>
      </c>
      <c r="B320" s="18">
        <v>167600.76033067866</v>
      </c>
      <c r="C320" s="18">
        <v>56017.58314515228</v>
      </c>
      <c r="D320" s="18">
        <v>56017.58314515228</v>
      </c>
      <c r="E320" s="18">
        <v>6000</v>
      </c>
      <c r="F320" s="18">
        <v>6000</v>
      </c>
      <c r="G320" s="18">
        <v>6000</v>
      </c>
      <c r="H320" s="18">
        <v>48872.21412441625</v>
      </c>
      <c r="I320" s="18">
        <v>48872.21412441625</v>
      </c>
      <c r="J320" s="18">
        <v>6000</v>
      </c>
      <c r="K320" s="18">
        <v>6000</v>
      </c>
      <c r="L320" s="18">
        <v>6000</v>
      </c>
      <c r="M320" s="18">
        <v>167600.76033067866</v>
      </c>
      <c r="N320" s="18">
        <f t="shared" si="73"/>
        <v>580981.1152004944</v>
      </c>
    </row>
    <row r="321" spans="1:14" ht="18" hidden="1">
      <c r="A321" s="33" t="str">
        <f t="shared" si="71"/>
        <v>PEI Plant Operating Costs</v>
      </c>
      <c r="B321" s="18">
        <v>236114.822749103</v>
      </c>
      <c r="C321" s="18">
        <v>236114.822749103</v>
      </c>
      <c r="D321" s="18">
        <v>236114.822749103</v>
      </c>
      <c r="E321" s="18">
        <v>236114.822749103</v>
      </c>
      <c r="F321" s="18">
        <v>236114.822749103</v>
      </c>
      <c r="G321" s="18">
        <v>236114.822749103</v>
      </c>
      <c r="H321" s="18">
        <v>236114.822749103</v>
      </c>
      <c r="I321" s="18">
        <v>236114.822749103</v>
      </c>
      <c r="J321" s="18">
        <v>236114.822749103</v>
      </c>
      <c r="K321" s="18">
        <v>236114.822749103</v>
      </c>
      <c r="L321" s="18">
        <v>236114.822749103</v>
      </c>
      <c r="M321" s="18">
        <v>236114.822749103</v>
      </c>
      <c r="N321" s="18">
        <f t="shared" si="73"/>
        <v>2833377.872989236</v>
      </c>
    </row>
    <row r="322" spans="1:14" ht="18" hidden="1">
      <c r="A322" s="166" t="str">
        <f t="shared" si="71"/>
        <v>Less: Insurance, Property Tax &amp; Training</v>
      </c>
      <c r="B322" s="164">
        <v>-81070.58716910167</v>
      </c>
      <c r="C322" s="164">
        <v>-81070.58716910167</v>
      </c>
      <c r="D322" s="164">
        <v>-81070.58716910167</v>
      </c>
      <c r="E322" s="164">
        <v>-81070.58716910167</v>
      </c>
      <c r="F322" s="164">
        <v>-81070.58716910167</v>
      </c>
      <c r="G322" s="164">
        <v>-81070.58716910167</v>
      </c>
      <c r="H322" s="164">
        <v>-81070.58716910167</v>
      </c>
      <c r="I322" s="164">
        <v>-81070.58716910167</v>
      </c>
      <c r="J322" s="164">
        <v>-81070.58716910167</v>
      </c>
      <c r="K322" s="164">
        <v>-81070.58716910167</v>
      </c>
      <c r="L322" s="164">
        <v>-81070.58716910167</v>
      </c>
      <c r="M322" s="164">
        <v>-81070.58716910167</v>
      </c>
      <c r="N322" s="164">
        <f t="shared" si="73"/>
        <v>-972847.0460292202</v>
      </c>
    </row>
    <row r="323" spans="1:14" ht="18" hidden="1">
      <c r="A323" s="33" t="str">
        <f t="shared" si="71"/>
        <v>Amortization - Pt Lepreau Deferred Charge &amp; DSM</v>
      </c>
      <c r="B323" s="18">
        <v>7783.333333333333</v>
      </c>
      <c r="C323" s="18">
        <v>7783.333333333333</v>
      </c>
      <c r="D323" s="18">
        <v>7783.333333333333</v>
      </c>
      <c r="E323" s="18">
        <v>7783.333333333333</v>
      </c>
      <c r="F323" s="18">
        <v>7783.333333333333</v>
      </c>
      <c r="G323" s="18">
        <v>7783.333333333333</v>
      </c>
      <c r="H323" s="18">
        <v>7783.333333333333</v>
      </c>
      <c r="I323" s="18">
        <v>7783.333333333333</v>
      </c>
      <c r="J323" s="18">
        <v>7783.333333333333</v>
      </c>
      <c r="K323" s="18">
        <v>7783.333333333333</v>
      </c>
      <c r="L323" s="18">
        <v>7783.333333333333</v>
      </c>
      <c r="M323" s="18">
        <v>7783.333333333333</v>
      </c>
      <c r="N323" s="18">
        <f t="shared" si="73"/>
        <v>93399.99999999999</v>
      </c>
    </row>
    <row r="324" spans="1:14" ht="18" hidden="1">
      <c r="A324" s="33" t="str">
        <f t="shared" si="71"/>
        <v>Renewable Energy Costs</v>
      </c>
      <c r="B324" s="18">
        <v>3452735.2792681046</v>
      </c>
      <c r="C324" s="18">
        <v>2714919.204613164</v>
      </c>
      <c r="D324" s="18">
        <v>3555076.696130423</v>
      </c>
      <c r="E324" s="18">
        <v>2762999.3646422923</v>
      </c>
      <c r="F324" s="18">
        <v>2755438.5560522974</v>
      </c>
      <c r="G324" s="18">
        <v>2578579.342651767</v>
      </c>
      <c r="H324" s="18">
        <v>1700194.6785352011</v>
      </c>
      <c r="I324" s="18">
        <v>2170168.5133642014</v>
      </c>
      <c r="J324" s="18">
        <v>2868653.00282143</v>
      </c>
      <c r="K324" s="18">
        <v>3837283.1977078677</v>
      </c>
      <c r="L324" s="18">
        <v>3794010.1100973208</v>
      </c>
      <c r="M324" s="18">
        <v>3300241.7770686117</v>
      </c>
      <c r="N324" s="18">
        <f>SUM(B324:M324)</f>
        <v>35490299.722952686</v>
      </c>
    </row>
    <row r="325" spans="1:14" ht="18" customHeight="1" hidden="1">
      <c r="A325" s="108" t="s">
        <v>192</v>
      </c>
      <c r="B325" s="18">
        <f>-B338</f>
        <v>0</v>
      </c>
      <c r="C325" s="18">
        <f aca="true" t="shared" si="74" ref="C325:M325">-C338</f>
        <v>0</v>
      </c>
      <c r="D325" s="18">
        <f t="shared" si="74"/>
        <v>0</v>
      </c>
      <c r="E325" s="18">
        <f t="shared" si="74"/>
        <v>0</v>
      </c>
      <c r="F325" s="18">
        <f t="shared" si="74"/>
        <v>0</v>
      </c>
      <c r="G325" s="18">
        <f t="shared" si="74"/>
        <v>0</v>
      </c>
      <c r="H325" s="18">
        <f t="shared" si="74"/>
        <v>0</v>
      </c>
      <c r="I325" s="18">
        <f t="shared" si="74"/>
        <v>0</v>
      </c>
      <c r="J325" s="18">
        <v>0</v>
      </c>
      <c r="K325" s="18">
        <v>0</v>
      </c>
      <c r="L325" s="18">
        <v>0</v>
      </c>
      <c r="M325" s="18">
        <f t="shared" si="74"/>
        <v>0</v>
      </c>
      <c r="N325" s="18">
        <f>SUM(B325:M325)</f>
        <v>0</v>
      </c>
    </row>
    <row r="326" spans="1:15" ht="18" hidden="1">
      <c r="A326" s="33"/>
      <c r="B326" s="88">
        <v>13215314.225098876</v>
      </c>
      <c r="C326" s="88">
        <v>11957403.934377776</v>
      </c>
      <c r="D326" s="88">
        <v>12376396.195479877</v>
      </c>
      <c r="E326" s="88">
        <v>12241823.661039619</v>
      </c>
      <c r="F326" s="88">
        <v>10766963.254245583</v>
      </c>
      <c r="G326" s="88">
        <v>10596984.098271145</v>
      </c>
      <c r="H326" s="88">
        <v>11058799.465070412</v>
      </c>
      <c r="I326" s="88">
        <v>11009309.47097442</v>
      </c>
      <c r="J326" s="88">
        <v>10488041.344681086</v>
      </c>
      <c r="K326" s="88">
        <v>10927333.694056548</v>
      </c>
      <c r="L326" s="88">
        <v>11855543.32283819</v>
      </c>
      <c r="M326" s="88">
        <v>13623840.947490644</v>
      </c>
      <c r="N326" s="88">
        <f>SUM(N317:N325)</f>
        <v>140117753.61362416</v>
      </c>
      <c r="O326" s="89">
        <v>140117753.78029084</v>
      </c>
    </row>
    <row r="327" spans="1:14" ht="18" hidden="1">
      <c r="A327" s="33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ht="18" hidden="1">
      <c r="A328" s="33" t="str">
        <f>+A255</f>
        <v>Current Month Replacement Energy Costs</v>
      </c>
      <c r="B328" s="118">
        <v>0</v>
      </c>
      <c r="C328" s="118">
        <v>0</v>
      </c>
      <c r="D328" s="118">
        <v>0</v>
      </c>
      <c r="E328" s="118">
        <v>0</v>
      </c>
      <c r="F328" s="118">
        <v>0</v>
      </c>
      <c r="G328" s="118">
        <v>0</v>
      </c>
      <c r="H328" s="118">
        <v>0</v>
      </c>
      <c r="I328" s="118">
        <v>0</v>
      </c>
      <c r="J328" s="118">
        <v>0</v>
      </c>
      <c r="K328" s="118">
        <v>0</v>
      </c>
      <c r="L328" s="118">
        <v>0</v>
      </c>
      <c r="M328" s="118">
        <v>0</v>
      </c>
      <c r="N328" s="139">
        <f>SUM(B328:M328)</f>
        <v>0</v>
      </c>
    </row>
    <row r="329" spans="1:14" ht="18" hidden="1">
      <c r="A329" s="33" t="str">
        <f>+A256</f>
        <v>Total Energy Costs - Incl Pt Lepreau Replacement</v>
      </c>
      <c r="B329" s="89">
        <f>+B326+B328</f>
        <v>13215314.225098876</v>
      </c>
      <c r="C329" s="89">
        <f aca="true" t="shared" si="75" ref="C329:M329">+C326+C328</f>
        <v>11957403.934377776</v>
      </c>
      <c r="D329" s="89">
        <f t="shared" si="75"/>
        <v>12376396.195479877</v>
      </c>
      <c r="E329" s="89">
        <f t="shared" si="75"/>
        <v>12241823.661039619</v>
      </c>
      <c r="F329" s="89">
        <f t="shared" si="75"/>
        <v>10766963.254245583</v>
      </c>
      <c r="G329" s="89">
        <f t="shared" si="75"/>
        <v>10596984.098271145</v>
      </c>
      <c r="H329" s="89">
        <f t="shared" si="75"/>
        <v>11058799.465070412</v>
      </c>
      <c r="I329" s="89">
        <f t="shared" si="75"/>
        <v>11009309.47097442</v>
      </c>
      <c r="J329" s="89">
        <f t="shared" si="75"/>
        <v>10488041.344681086</v>
      </c>
      <c r="K329" s="89">
        <f t="shared" si="75"/>
        <v>10927333.694056548</v>
      </c>
      <c r="L329" s="89">
        <f t="shared" si="75"/>
        <v>11855543.32283819</v>
      </c>
      <c r="M329" s="89">
        <f t="shared" si="75"/>
        <v>13623840.947490644</v>
      </c>
      <c r="N329" s="127">
        <f>SUM(B329:M329)</f>
        <v>140117753.61362416</v>
      </c>
    </row>
    <row r="330" ht="18" hidden="1">
      <c r="A330" s="33"/>
    </row>
    <row r="331" spans="1:15" ht="18" hidden="1">
      <c r="A331" s="33" t="str">
        <f>+A258</f>
        <v>Net Purchased &amp; Produced Energy - kWh (NPP)</v>
      </c>
      <c r="B331" s="18">
        <v>141018727.63667306</v>
      </c>
      <c r="C331" s="18">
        <v>124302759.92186424</v>
      </c>
      <c r="D331" s="18">
        <v>129678749.53868718</v>
      </c>
      <c r="E331" s="18">
        <v>107676792.03322989</v>
      </c>
      <c r="F331" s="18">
        <v>109503788.50457205</v>
      </c>
      <c r="G331" s="18">
        <v>106696793.92599653</v>
      </c>
      <c r="H331" s="18">
        <v>114084779.65685366</v>
      </c>
      <c r="I331" s="18">
        <v>112842782.05564569</v>
      </c>
      <c r="J331" s="18">
        <v>104759797.66710778</v>
      </c>
      <c r="K331" s="18">
        <v>110190787.17770402</v>
      </c>
      <c r="L331" s="18">
        <v>121909764.54369138</v>
      </c>
      <c r="M331" s="18">
        <v>145170719.61752293</v>
      </c>
      <c r="N331" s="18">
        <v>1427836242.2795486</v>
      </c>
      <c r="O331" s="89">
        <v>140117753.6136242</v>
      </c>
    </row>
    <row r="332" spans="1:14" ht="18" hidden="1">
      <c r="A332" s="33" t="str">
        <f>+A259</f>
        <v>Base Rate/kWh</v>
      </c>
      <c r="B332" s="149">
        <v>0.09591</v>
      </c>
      <c r="C332" s="149">
        <v>0.09591</v>
      </c>
      <c r="D332" s="149">
        <v>0.0979</v>
      </c>
      <c r="E332" s="149">
        <v>0.0979</v>
      </c>
      <c r="F332" s="149">
        <v>0.0979</v>
      </c>
      <c r="G332" s="149">
        <v>0.0979</v>
      </c>
      <c r="H332" s="149">
        <v>0.0979</v>
      </c>
      <c r="I332" s="149">
        <v>0.0979</v>
      </c>
      <c r="J332" s="149">
        <v>0.0979</v>
      </c>
      <c r="K332" s="149">
        <v>0.0979</v>
      </c>
      <c r="L332" s="149">
        <v>0.0979</v>
      </c>
      <c r="M332" s="149">
        <v>0.0979</v>
      </c>
      <c r="N332" s="149">
        <f>+N333/N331</f>
        <v>0.09753021686618728</v>
      </c>
    </row>
    <row r="333" spans="1:14" ht="18" hidden="1">
      <c r="A333" s="33" t="str">
        <f>+A260</f>
        <v>Base Energy Costs </v>
      </c>
      <c r="B333" s="90">
        <f>+B331*B332</f>
        <v>13525106.167633314</v>
      </c>
      <c r="C333" s="90">
        <f aca="true" t="shared" si="76" ref="C333:M333">+C331*C332</f>
        <v>11921877.704106</v>
      </c>
      <c r="D333" s="90">
        <f t="shared" si="76"/>
        <v>12695549.579837475</v>
      </c>
      <c r="E333" s="90">
        <f t="shared" si="76"/>
        <v>10541557.940053206</v>
      </c>
      <c r="F333" s="90">
        <f t="shared" si="76"/>
        <v>10720420.894597603</v>
      </c>
      <c r="G333" s="90">
        <f t="shared" si="76"/>
        <v>10445616.12535506</v>
      </c>
      <c r="H333" s="90">
        <f t="shared" si="76"/>
        <v>11168899.928405974</v>
      </c>
      <c r="I333" s="90">
        <f t="shared" si="76"/>
        <v>11047308.363247713</v>
      </c>
      <c r="J333" s="90">
        <f t="shared" si="76"/>
        <v>10255984.191609852</v>
      </c>
      <c r="K333" s="90">
        <f t="shared" si="76"/>
        <v>10787678.064697225</v>
      </c>
      <c r="L333" s="90">
        <f t="shared" si="76"/>
        <v>11934965.948827386</v>
      </c>
      <c r="M333" s="90">
        <f t="shared" si="76"/>
        <v>14212213.450555494</v>
      </c>
      <c r="N333" s="90">
        <f>SUM(B333:M333)</f>
        <v>139257178.3589263</v>
      </c>
    </row>
    <row r="334" ht="9" customHeight="1" hidden="1">
      <c r="A334" s="33"/>
    </row>
    <row r="335" spans="1:14" ht="18.75" hidden="1" thickBot="1">
      <c r="A335" s="33" t="str">
        <f>+A262</f>
        <v>Difference Between Actual &amp; Base Energy Costs</v>
      </c>
      <c r="B335" s="91">
        <f>+B326-B333</f>
        <v>-309791.9425344374</v>
      </c>
      <c r="C335" s="91">
        <f aca="true" t="shared" si="77" ref="C335:N335">+C326-C333</f>
        <v>35526.23027177714</v>
      </c>
      <c r="D335" s="91">
        <f t="shared" si="77"/>
        <v>-319153.3843575977</v>
      </c>
      <c r="E335" s="91">
        <f t="shared" si="77"/>
        <v>1700265.7209864128</v>
      </c>
      <c r="F335" s="91">
        <f t="shared" si="77"/>
        <v>46542.35964797996</v>
      </c>
      <c r="G335" s="91">
        <f t="shared" si="77"/>
        <v>151367.97291608527</v>
      </c>
      <c r="H335" s="91">
        <f t="shared" si="77"/>
        <v>-110100.4633355625</v>
      </c>
      <c r="I335" s="91">
        <f t="shared" si="77"/>
        <v>-37998.89227329381</v>
      </c>
      <c r="J335" s="91">
        <f t="shared" si="77"/>
        <v>232057.153071234</v>
      </c>
      <c r="K335" s="91">
        <f t="shared" si="77"/>
        <v>139655.62935932353</v>
      </c>
      <c r="L335" s="91">
        <f t="shared" si="77"/>
        <v>-79422.62598919682</v>
      </c>
      <c r="M335" s="91">
        <f t="shared" si="77"/>
        <v>-588372.5030648503</v>
      </c>
      <c r="N335" s="91">
        <f t="shared" si="77"/>
        <v>860575.2546978593</v>
      </c>
    </row>
    <row r="336" ht="10.5" customHeight="1" hidden="1" thickTop="1"/>
    <row r="337" spans="1:14" ht="18" customHeight="1" hidden="1">
      <c r="A337" s="33" t="str">
        <f>+A264</f>
        <v>Opening Balance - Pt Lepreau Replacement Costs</v>
      </c>
      <c r="B337" s="89">
        <f>+N266</f>
        <v>0</v>
      </c>
      <c r="C337" s="89">
        <f>+B339</f>
        <v>0</v>
      </c>
      <c r="D337" s="89">
        <f aca="true" t="shared" si="78" ref="D337:M337">+C339</f>
        <v>0</v>
      </c>
      <c r="E337" s="89">
        <f t="shared" si="78"/>
        <v>0</v>
      </c>
      <c r="F337" s="89">
        <f t="shared" si="78"/>
        <v>0</v>
      </c>
      <c r="G337" s="89">
        <f t="shared" si="78"/>
        <v>0</v>
      </c>
      <c r="H337" s="89">
        <f t="shared" si="78"/>
        <v>0</v>
      </c>
      <c r="I337" s="89">
        <f t="shared" si="78"/>
        <v>0</v>
      </c>
      <c r="J337" s="89">
        <f t="shared" si="78"/>
        <v>0</v>
      </c>
      <c r="K337" s="89">
        <f t="shared" si="78"/>
        <v>0</v>
      </c>
      <c r="L337" s="89">
        <f t="shared" si="78"/>
        <v>0</v>
      </c>
      <c r="M337" s="89">
        <f t="shared" si="78"/>
        <v>0</v>
      </c>
      <c r="N337" s="128">
        <f>+B337</f>
        <v>0</v>
      </c>
    </row>
    <row r="338" spans="1:14" ht="18" customHeight="1" hidden="1">
      <c r="A338" s="33" t="str">
        <f>+A265</f>
        <v>Additions (Reductions)</v>
      </c>
      <c r="B338" s="114">
        <v>0</v>
      </c>
      <c r="C338" s="114">
        <v>0</v>
      </c>
      <c r="D338" s="114">
        <v>0</v>
      </c>
      <c r="E338" s="114">
        <v>0</v>
      </c>
      <c r="F338" s="114">
        <v>0</v>
      </c>
      <c r="G338" s="114">
        <v>0</v>
      </c>
      <c r="H338" s="114">
        <v>0</v>
      </c>
      <c r="I338" s="114">
        <v>0</v>
      </c>
      <c r="J338" s="114">
        <v>0</v>
      </c>
      <c r="K338" s="114">
        <v>0</v>
      </c>
      <c r="L338" s="114">
        <v>0</v>
      </c>
      <c r="M338" s="114">
        <v>0</v>
      </c>
      <c r="N338" s="131">
        <f>SUM(B338:M338)</f>
        <v>0</v>
      </c>
    </row>
    <row r="339" spans="1:14" ht="18" customHeight="1" hidden="1">
      <c r="A339" s="33" t="str">
        <f>+A266</f>
        <v>Closing Balance - Pt Lepreau Replacement Costs</v>
      </c>
      <c r="B339" s="89">
        <f>+B337+B338</f>
        <v>0</v>
      </c>
      <c r="C339" s="89">
        <f>+C337+C338</f>
        <v>0</v>
      </c>
      <c r="D339" s="89">
        <f aca="true" t="shared" si="79" ref="D339:M339">+D337+D338</f>
        <v>0</v>
      </c>
      <c r="E339" s="89">
        <f t="shared" si="79"/>
        <v>0</v>
      </c>
      <c r="F339" s="89">
        <f t="shared" si="79"/>
        <v>0</v>
      </c>
      <c r="G339" s="89">
        <f t="shared" si="79"/>
        <v>0</v>
      </c>
      <c r="H339" s="89">
        <f t="shared" si="79"/>
        <v>0</v>
      </c>
      <c r="I339" s="89">
        <f t="shared" si="79"/>
        <v>0</v>
      </c>
      <c r="J339" s="89">
        <f t="shared" si="79"/>
        <v>0</v>
      </c>
      <c r="K339" s="89">
        <f t="shared" si="79"/>
        <v>0</v>
      </c>
      <c r="L339" s="89">
        <f t="shared" si="79"/>
        <v>0</v>
      </c>
      <c r="M339" s="89">
        <f t="shared" si="79"/>
        <v>0</v>
      </c>
      <c r="N339" s="128">
        <f>+N337+N338</f>
        <v>0</v>
      </c>
    </row>
    <row r="340" ht="18" customHeight="1" hidden="1"/>
    <row r="341" spans="1:14" ht="18" hidden="1">
      <c r="A341" s="33" t="str">
        <f>+A268</f>
        <v>Opening Balance - ECAM</v>
      </c>
      <c r="B341" s="18">
        <f>+M271</f>
        <v>249963.59157908597</v>
      </c>
      <c r="C341" s="89">
        <f>+B344</f>
        <v>-249308.57721873542</v>
      </c>
      <c r="D341" s="89">
        <f aca="true" t="shared" si="80" ref="D341:M341">+C344</f>
        <v>-401195.4648424572</v>
      </c>
      <c r="E341" s="89">
        <f t="shared" si="80"/>
        <v>-742243.4495351076</v>
      </c>
      <c r="F341" s="89">
        <f t="shared" si="80"/>
        <v>936482.2634451864</v>
      </c>
      <c r="G341" s="89">
        <f t="shared" si="80"/>
        <v>963552.8577711917</v>
      </c>
      <c r="H341" s="89">
        <f t="shared" si="80"/>
        <v>1096467.970346297</v>
      </c>
      <c r="I341" s="89">
        <f t="shared" si="80"/>
        <v>967526.515749919</v>
      </c>
      <c r="J341" s="89">
        <f t="shared" si="80"/>
        <v>909710.9376369043</v>
      </c>
      <c r="K341" s="89">
        <f t="shared" si="80"/>
        <v>1122105.0810783512</v>
      </c>
      <c r="L341" s="89">
        <f t="shared" si="80"/>
        <v>1243272.657465618</v>
      </c>
      <c r="M341" s="89">
        <f t="shared" si="80"/>
        <v>1144519.9068999563</v>
      </c>
      <c r="N341" s="89">
        <f>+B341</f>
        <v>249963.59157908597</v>
      </c>
    </row>
    <row r="342" spans="1:14" ht="18" hidden="1">
      <c r="A342" s="33" t="str">
        <f>+A269</f>
        <v>Additions/(Reductions)</v>
      </c>
      <c r="B342" s="89">
        <f>+B335</f>
        <v>-309791.9425344374</v>
      </c>
      <c r="C342" s="89">
        <f aca="true" t="shared" si="81" ref="C342:M342">+C335</f>
        <v>35526.23027177714</v>
      </c>
      <c r="D342" s="89">
        <f t="shared" si="81"/>
        <v>-319153.3843575977</v>
      </c>
      <c r="E342" s="89">
        <f t="shared" si="81"/>
        <v>1700265.7209864128</v>
      </c>
      <c r="F342" s="89">
        <f t="shared" si="81"/>
        <v>46542.35964797996</v>
      </c>
      <c r="G342" s="89">
        <f t="shared" si="81"/>
        <v>151367.97291608527</v>
      </c>
      <c r="H342" s="89">
        <f t="shared" si="81"/>
        <v>-110100.4633355625</v>
      </c>
      <c r="I342" s="89">
        <f t="shared" si="81"/>
        <v>-37998.89227329381</v>
      </c>
      <c r="J342" s="89">
        <f t="shared" si="81"/>
        <v>232057.153071234</v>
      </c>
      <c r="K342" s="89">
        <f t="shared" si="81"/>
        <v>139655.62935932353</v>
      </c>
      <c r="L342" s="89">
        <f t="shared" si="81"/>
        <v>-79422.62598919682</v>
      </c>
      <c r="M342" s="89">
        <f t="shared" si="81"/>
        <v>-588372.5030648503</v>
      </c>
      <c r="N342" s="89">
        <f>SUM(B342:M342)</f>
        <v>860575.2546978742</v>
      </c>
    </row>
    <row r="343" spans="1:14" ht="18" hidden="1">
      <c r="A343" s="33" t="str">
        <f>+A270</f>
        <v>Rebated/(Collected) From Ratepayer</v>
      </c>
      <c r="B343" s="112">
        <v>-189480.226263384</v>
      </c>
      <c r="C343" s="112">
        <v>-187413.1178954989</v>
      </c>
      <c r="D343" s="112">
        <v>-21894.600335052757</v>
      </c>
      <c r="E343" s="112">
        <v>-21540.008006118864</v>
      </c>
      <c r="F343" s="112">
        <v>-19471.765321974595</v>
      </c>
      <c r="G343" s="112">
        <v>-18452.8603409802</v>
      </c>
      <c r="H343" s="112">
        <v>-18840.99126081546</v>
      </c>
      <c r="I343" s="112">
        <v>-19816.68583972085</v>
      </c>
      <c r="J343" s="112">
        <v>-19663.009629787193</v>
      </c>
      <c r="K343" s="112">
        <v>-18488.052972056663</v>
      </c>
      <c r="L343" s="112">
        <v>-19330.12457646506</v>
      </c>
      <c r="M343" s="112">
        <v>-23672.47247546415</v>
      </c>
      <c r="N343" s="112">
        <f>SUM(B343:M343)</f>
        <v>-578063.9149173186</v>
      </c>
    </row>
    <row r="344" spans="1:14" ht="18" hidden="1">
      <c r="A344" s="33" t="str">
        <f>+A271</f>
        <v>Closing Balance - ECAM </v>
      </c>
      <c r="B344" s="88">
        <f>SUM(B341:B343)</f>
        <v>-249308.57721873542</v>
      </c>
      <c r="C344" s="88">
        <f aca="true" t="shared" si="82" ref="C344:N344">SUM(C341:C343)</f>
        <v>-401195.4648424572</v>
      </c>
      <c r="D344" s="88">
        <f t="shared" si="82"/>
        <v>-742243.4495351076</v>
      </c>
      <c r="E344" s="88">
        <f t="shared" si="82"/>
        <v>936482.2634451864</v>
      </c>
      <c r="F344" s="88">
        <f t="shared" si="82"/>
        <v>963552.8577711917</v>
      </c>
      <c r="G344" s="88">
        <f t="shared" si="82"/>
        <v>1096467.970346297</v>
      </c>
      <c r="H344" s="88">
        <f t="shared" si="82"/>
        <v>967526.515749919</v>
      </c>
      <c r="I344" s="88">
        <f t="shared" si="82"/>
        <v>909710.9376369043</v>
      </c>
      <c r="J344" s="88">
        <f t="shared" si="82"/>
        <v>1122105.0810783512</v>
      </c>
      <c r="K344" s="88">
        <f t="shared" si="82"/>
        <v>1243272.657465618</v>
      </c>
      <c r="L344" s="88">
        <f t="shared" si="82"/>
        <v>1144519.9068999563</v>
      </c>
      <c r="M344" s="88">
        <f t="shared" si="82"/>
        <v>532474.9313596418</v>
      </c>
      <c r="N344" s="88">
        <f t="shared" si="82"/>
        <v>532474.9313596415</v>
      </c>
    </row>
    <row r="345" spans="1:14" ht="20.25" customHeight="1" hidden="1" thickBot="1">
      <c r="A345" s="33" t="str">
        <f>+A272</f>
        <v>General Ledger Closing Balance</v>
      </c>
      <c r="B345" s="92">
        <f>+B339+B344</f>
        <v>-249308.57721873542</v>
      </c>
      <c r="C345" s="150">
        <f aca="true" t="shared" si="83" ref="C345:N345">+C339+C344</f>
        <v>-401195.4648424572</v>
      </c>
      <c r="D345" s="92">
        <f t="shared" si="83"/>
        <v>-742243.4495351076</v>
      </c>
      <c r="E345" s="92">
        <f t="shared" si="83"/>
        <v>936482.2634451864</v>
      </c>
      <c r="F345" s="92">
        <f t="shared" si="83"/>
        <v>963552.8577711917</v>
      </c>
      <c r="G345" s="92">
        <f t="shared" si="83"/>
        <v>1096467.970346297</v>
      </c>
      <c r="H345" s="92">
        <f t="shared" si="83"/>
        <v>967526.515749919</v>
      </c>
      <c r="I345" s="92">
        <f t="shared" si="83"/>
        <v>909710.9376369043</v>
      </c>
      <c r="J345" s="92">
        <f t="shared" si="83"/>
        <v>1122105.0810783512</v>
      </c>
      <c r="K345" s="92">
        <f t="shared" si="83"/>
        <v>1243272.657465618</v>
      </c>
      <c r="L345" s="92">
        <f t="shared" si="83"/>
        <v>1144519.9068999563</v>
      </c>
      <c r="M345" s="92">
        <f t="shared" si="83"/>
        <v>532474.9313596418</v>
      </c>
      <c r="N345" s="92">
        <f t="shared" si="83"/>
        <v>532474.9313596415</v>
      </c>
    </row>
    <row r="346" spans="1:14" ht="13.5" customHeight="1" hidden="1" thickTop="1">
      <c r="A346" s="108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</row>
    <row r="347" spans="1:14" ht="18.75" hidden="1" thickBot="1">
      <c r="A347" s="33" t="s">
        <v>213</v>
      </c>
      <c r="B347" s="106">
        <v>0.9590489961446751</v>
      </c>
      <c r="C347" s="106">
        <v>0.9590489961446751</v>
      </c>
      <c r="D347" s="106">
        <v>0.12216581051058147</v>
      </c>
      <c r="E347" s="106">
        <v>0.12216581051058147</v>
      </c>
      <c r="F347" s="106">
        <v>0.12216581051058147</v>
      </c>
      <c r="G347" s="106">
        <v>0.12216581051058147</v>
      </c>
      <c r="H347" s="106">
        <v>0.12216581051058147</v>
      </c>
      <c r="I347" s="106">
        <v>0.12216581051058147</v>
      </c>
      <c r="J347" s="106">
        <v>0.12216581051058147</v>
      </c>
      <c r="K347" s="106">
        <v>0.12216581051058147</v>
      </c>
      <c r="L347" s="106">
        <v>0.12216581051058147</v>
      </c>
      <c r="M347" s="106">
        <v>0.12216581051058147</v>
      </c>
      <c r="N347" s="106">
        <f>SUM(B347:M347)</f>
        <v>3.1397560973951664</v>
      </c>
    </row>
    <row r="348" ht="7.5" customHeight="1" hidden="1" thickTop="1">
      <c r="A348" s="111"/>
    </row>
    <row r="349" spans="1:14" ht="18.75" hidden="1" thickBot="1">
      <c r="A349" s="33" t="s">
        <v>212</v>
      </c>
      <c r="B349" s="106">
        <v>14.754599940687308</v>
      </c>
      <c r="C349" s="106">
        <v>14.754599940687308</v>
      </c>
      <c r="D349" s="106">
        <v>1.8794740078550995</v>
      </c>
      <c r="E349" s="106">
        <v>1.8794740078550995</v>
      </c>
      <c r="F349" s="106">
        <v>1.8794740078550995</v>
      </c>
      <c r="G349" s="106">
        <v>1.8794740078550995</v>
      </c>
      <c r="H349" s="106">
        <v>1.8794740078550995</v>
      </c>
      <c r="I349" s="106">
        <v>1.8794740078550995</v>
      </c>
      <c r="J349" s="106">
        <v>1.8794740078550995</v>
      </c>
      <c r="K349" s="106">
        <v>1.8794740078550995</v>
      </c>
      <c r="L349" s="106">
        <v>1.8794740078550995</v>
      </c>
      <c r="M349" s="106">
        <v>1.8794740078550995</v>
      </c>
      <c r="N349" s="106">
        <f>SUM(B349:M349)</f>
        <v>48.30393995992563</v>
      </c>
    </row>
    <row r="350" ht="13.5" hidden="1" thickTop="1"/>
    <row r="351" spans="1:14" ht="14.25" hidden="1">
      <c r="A351" s="108" t="e">
        <f>+A277</f>
        <v>#REF!</v>
      </c>
      <c r="B351" s="18">
        <v>0</v>
      </c>
      <c r="C351" s="18">
        <v>0</v>
      </c>
      <c r="D351" s="18">
        <v>0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89">
        <f>+M351</f>
        <v>0</v>
      </c>
    </row>
    <row r="352" spans="1:14" ht="14.25" hidden="1">
      <c r="A352" s="108" t="str">
        <f>+A278</f>
        <v>Regular ECAM</v>
      </c>
      <c r="B352" s="18">
        <f>+B344</f>
        <v>-249308.57721873542</v>
      </c>
      <c r="C352" s="18">
        <f aca="true" t="shared" si="84" ref="C352:N352">+C344</f>
        <v>-401195.4648424572</v>
      </c>
      <c r="D352" s="18">
        <f t="shared" si="84"/>
        <v>-742243.4495351076</v>
      </c>
      <c r="E352" s="18">
        <f t="shared" si="84"/>
        <v>936482.2634451864</v>
      </c>
      <c r="F352" s="18">
        <f t="shared" si="84"/>
        <v>963552.8577711917</v>
      </c>
      <c r="G352" s="18">
        <f t="shared" si="84"/>
        <v>1096467.970346297</v>
      </c>
      <c r="H352" s="18">
        <f t="shared" si="84"/>
        <v>967526.515749919</v>
      </c>
      <c r="I352" s="18">
        <f t="shared" si="84"/>
        <v>909710.9376369043</v>
      </c>
      <c r="J352" s="18">
        <f t="shared" si="84"/>
        <v>1122105.0810783512</v>
      </c>
      <c r="K352" s="18">
        <f t="shared" si="84"/>
        <v>1243272.657465618</v>
      </c>
      <c r="L352" s="18">
        <f t="shared" si="84"/>
        <v>1144519.9068999563</v>
      </c>
      <c r="M352" s="18">
        <f t="shared" si="84"/>
        <v>532474.9313596418</v>
      </c>
      <c r="N352" s="18">
        <f t="shared" si="84"/>
        <v>532474.9313596415</v>
      </c>
    </row>
    <row r="353" spans="1:14" ht="14.25" hidden="1">
      <c r="A353" s="108" t="str">
        <f>+A279</f>
        <v>Total ECAM</v>
      </c>
      <c r="B353" s="90">
        <f>SUM(B351:B352)</f>
        <v>-249308.57721873542</v>
      </c>
      <c r="C353" s="90">
        <f aca="true" t="shared" si="85" ref="C353:N353">SUM(C351:C352)</f>
        <v>-401195.4648424572</v>
      </c>
      <c r="D353" s="90">
        <f t="shared" si="85"/>
        <v>-742243.4495351076</v>
      </c>
      <c r="E353" s="90">
        <f t="shared" si="85"/>
        <v>936482.2634451864</v>
      </c>
      <c r="F353" s="90">
        <f t="shared" si="85"/>
        <v>963552.8577711917</v>
      </c>
      <c r="G353" s="90">
        <f t="shared" si="85"/>
        <v>1096467.970346297</v>
      </c>
      <c r="H353" s="90">
        <f t="shared" si="85"/>
        <v>967526.515749919</v>
      </c>
      <c r="I353" s="90">
        <f t="shared" si="85"/>
        <v>909710.9376369043</v>
      </c>
      <c r="J353" s="90">
        <f t="shared" si="85"/>
        <v>1122105.0810783512</v>
      </c>
      <c r="K353" s="90">
        <f t="shared" si="85"/>
        <v>1243272.657465618</v>
      </c>
      <c r="L353" s="90">
        <f t="shared" si="85"/>
        <v>1144519.9068999563</v>
      </c>
      <c r="M353" s="90">
        <f t="shared" si="85"/>
        <v>532474.9313596418</v>
      </c>
      <c r="N353" s="90">
        <f t="shared" si="85"/>
        <v>532474.9313596415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spans="1:14" ht="18" hidden="1">
      <c r="A392" s="87" t="str">
        <f>+A316</f>
        <v>Energy Cost Adjustment Mechanism</v>
      </c>
      <c r="N392" s="149"/>
    </row>
    <row r="393" spans="1:14" ht="18" hidden="1">
      <c r="A393" s="86"/>
      <c r="B393" s="78">
        <f>+B316+365</f>
        <v>44956</v>
      </c>
      <c r="C393" s="78">
        <f aca="true" t="shared" si="86" ref="C393:M393">+C316+365</f>
        <v>44984</v>
      </c>
      <c r="D393" s="78">
        <f t="shared" si="86"/>
        <v>45013</v>
      </c>
      <c r="E393" s="78">
        <f t="shared" si="86"/>
        <v>45042</v>
      </c>
      <c r="F393" s="78">
        <f t="shared" si="86"/>
        <v>45071</v>
      </c>
      <c r="G393" s="78">
        <f t="shared" si="86"/>
        <v>45100</v>
      </c>
      <c r="H393" s="78">
        <f t="shared" si="86"/>
        <v>45129</v>
      </c>
      <c r="I393" s="78">
        <f t="shared" si="86"/>
        <v>45158</v>
      </c>
      <c r="J393" s="78">
        <f t="shared" si="86"/>
        <v>45187</v>
      </c>
      <c r="K393" s="78">
        <f t="shared" si="86"/>
        <v>45216</v>
      </c>
      <c r="L393" s="78">
        <f t="shared" si="86"/>
        <v>45245</v>
      </c>
      <c r="M393" s="78">
        <f t="shared" si="86"/>
        <v>45274</v>
      </c>
      <c r="N393" s="78" t="s">
        <v>109</v>
      </c>
    </row>
    <row r="394" spans="1:14" ht="18" hidden="1">
      <c r="A394" s="33" t="str">
        <f aca="true" t="shared" si="87" ref="A394:A402">+A317</f>
        <v>Purchased Energy Costs</v>
      </c>
      <c r="B394" s="18">
        <f>+B403-SUM(B395:B401)</f>
        <v>7605820.04321414</v>
      </c>
      <c r="C394" s="18">
        <f aca="true" t="shared" si="88" ref="C394:M394">+C403-SUM(C395:C401)</f>
        <v>7480488.7172010895</v>
      </c>
      <c r="D394" s="18">
        <f t="shared" si="88"/>
        <v>7177285.330475352</v>
      </c>
      <c r="E394" s="18">
        <f t="shared" si="88"/>
        <v>6196633.187883366</v>
      </c>
      <c r="F394" s="18">
        <f t="shared" si="88"/>
        <v>6176446.345786409</v>
      </c>
      <c r="G394" s="18">
        <f t="shared" si="88"/>
        <v>6087767.547259992</v>
      </c>
      <c r="H394" s="18">
        <f t="shared" si="88"/>
        <v>7339464.595537666</v>
      </c>
      <c r="I394" s="18">
        <f t="shared" si="88"/>
        <v>7077760.134200079</v>
      </c>
      <c r="J394" s="18">
        <f t="shared" si="88"/>
        <v>5752964.980025382</v>
      </c>
      <c r="K394" s="18">
        <f t="shared" si="88"/>
        <v>5092202.257117278</v>
      </c>
      <c r="L394" s="18">
        <f t="shared" si="88"/>
        <v>6001886.323848907</v>
      </c>
      <c r="M394" s="18">
        <f t="shared" si="88"/>
        <v>8191499.991037002</v>
      </c>
      <c r="N394" s="18">
        <f aca="true" t="shared" si="89" ref="N394:N400">SUM(B394:M394)</f>
        <v>80180219.45358667</v>
      </c>
    </row>
    <row r="395" spans="1:14" ht="18" hidden="1">
      <c r="A395" s="33" t="str">
        <f t="shared" si="87"/>
        <v>Lepreau Energy Costs</v>
      </c>
      <c r="B395" s="18">
        <v>1948694.4795832701</v>
      </c>
      <c r="C395" s="18">
        <v>1946880.5648308033</v>
      </c>
      <c r="D395" s="18">
        <v>1946143.1071669352</v>
      </c>
      <c r="E395" s="18">
        <v>1944688.0114440012</v>
      </c>
      <c r="F395" s="18">
        <v>1943591.7347505998</v>
      </c>
      <c r="G395" s="18">
        <v>1942136.639027666</v>
      </c>
      <c r="H395" s="18">
        <v>1941040.362334265</v>
      </c>
      <c r="I395" s="18">
        <v>1939764.6761260973</v>
      </c>
      <c r="J395" s="18">
        <v>1938309.5804031633</v>
      </c>
      <c r="K395" s="18">
        <v>1937213.3037097622</v>
      </c>
      <c r="L395" s="18">
        <v>1935758.2079868282</v>
      </c>
      <c r="M395" s="18">
        <v>1934661.931293427</v>
      </c>
      <c r="N395" s="18">
        <f t="shared" si="89"/>
        <v>23298882.598656822</v>
      </c>
    </row>
    <row r="396" spans="1:14" ht="18" hidden="1">
      <c r="A396" s="33" t="str">
        <f t="shared" si="87"/>
        <v>Dalhousie Energy Costs</v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>
        <f t="shared" si="89"/>
        <v>0</v>
      </c>
    </row>
    <row r="397" spans="1:14" ht="18" hidden="1">
      <c r="A397" s="33" t="str">
        <f t="shared" si="87"/>
        <v>Generation Fuel Costs-PEI Plants</v>
      </c>
      <c r="B397" s="18">
        <v>172506.06063128472</v>
      </c>
      <c r="C397" s="18">
        <v>57535.83878414463</v>
      </c>
      <c r="D397" s="18">
        <v>57535.83878414463</v>
      </c>
      <c r="E397" s="18">
        <v>6000</v>
      </c>
      <c r="F397" s="18">
        <v>6000</v>
      </c>
      <c r="G397" s="18">
        <v>6000</v>
      </c>
      <c r="H397" s="18">
        <v>50173.5761006954</v>
      </c>
      <c r="I397" s="18">
        <v>50173.5761006954</v>
      </c>
      <c r="J397" s="18">
        <v>6000</v>
      </c>
      <c r="K397" s="18">
        <v>6000</v>
      </c>
      <c r="L397" s="18">
        <v>6000</v>
      </c>
      <c r="M397" s="18">
        <v>172506.06063128472</v>
      </c>
      <c r="N397" s="18">
        <f t="shared" si="89"/>
        <v>596430.9510322495</v>
      </c>
    </row>
    <row r="398" spans="1:14" ht="18" hidden="1">
      <c r="A398" s="33" t="str">
        <f t="shared" si="87"/>
        <v>PEI Plant Operating Costs</v>
      </c>
      <c r="B398" s="18">
        <v>250045.29749403294</v>
      </c>
      <c r="C398" s="18">
        <v>250045.29749403294</v>
      </c>
      <c r="D398" s="18">
        <v>250045.29749403294</v>
      </c>
      <c r="E398" s="18">
        <v>250045.29749403294</v>
      </c>
      <c r="F398" s="18">
        <v>250045.29749403294</v>
      </c>
      <c r="G398" s="18">
        <v>250045.29749403294</v>
      </c>
      <c r="H398" s="18">
        <v>250045.29749403294</v>
      </c>
      <c r="I398" s="18">
        <v>250045.29749403294</v>
      </c>
      <c r="J398" s="18">
        <v>250045.29749403294</v>
      </c>
      <c r="K398" s="18">
        <v>250045.29749403294</v>
      </c>
      <c r="L398" s="18">
        <v>250045.29749403294</v>
      </c>
      <c r="M398" s="18">
        <v>250045.29749403294</v>
      </c>
      <c r="N398" s="18">
        <f t="shared" si="89"/>
        <v>3000543.569928395</v>
      </c>
    </row>
    <row r="399" spans="1:14" ht="18" hidden="1">
      <c r="A399" s="166" t="str">
        <f t="shared" si="87"/>
        <v>Less: Insurance, Property Tax &amp; Training</v>
      </c>
      <c r="B399" s="164">
        <v>-83502.70478417471</v>
      </c>
      <c r="C399" s="164">
        <v>-83502.70478417471</v>
      </c>
      <c r="D399" s="164">
        <v>-83502.70478417471</v>
      </c>
      <c r="E399" s="164">
        <v>-83502.70478417471</v>
      </c>
      <c r="F399" s="164">
        <v>-83502.70478417471</v>
      </c>
      <c r="G399" s="164">
        <v>-83502.70478417471</v>
      </c>
      <c r="H399" s="164">
        <v>-83502.70478417471</v>
      </c>
      <c r="I399" s="164">
        <v>-83502.70478417471</v>
      </c>
      <c r="J399" s="164">
        <v>-83502.70478417471</v>
      </c>
      <c r="K399" s="164">
        <v>-83502.70478417471</v>
      </c>
      <c r="L399" s="164">
        <v>-83502.70478417471</v>
      </c>
      <c r="M399" s="164">
        <v>-83502.70478417471</v>
      </c>
      <c r="N399" s="164">
        <f t="shared" si="89"/>
        <v>-1002032.4574100963</v>
      </c>
    </row>
    <row r="400" spans="1:14" ht="18" hidden="1">
      <c r="A400" s="33" t="str">
        <f t="shared" si="87"/>
        <v>Amortization - Pt Lepreau Deferred Charge &amp; DSM</v>
      </c>
      <c r="B400" s="18">
        <v>7783.333333333333</v>
      </c>
      <c r="C400" s="18">
        <v>7783.333333333333</v>
      </c>
      <c r="D400" s="18">
        <v>7783.333333333333</v>
      </c>
      <c r="E400" s="18">
        <v>7783.333333333333</v>
      </c>
      <c r="F400" s="18">
        <v>7783.333333333333</v>
      </c>
      <c r="G400" s="18">
        <v>7783.333333333333</v>
      </c>
      <c r="H400" s="18">
        <v>7783.333333333333</v>
      </c>
      <c r="I400" s="18">
        <v>7783.333333333333</v>
      </c>
      <c r="J400" s="18">
        <v>7783.333333333333</v>
      </c>
      <c r="K400" s="18">
        <v>7783.333333333333</v>
      </c>
      <c r="L400" s="18">
        <v>7783.333333333333</v>
      </c>
      <c r="M400" s="18">
        <v>7783.333333333333</v>
      </c>
      <c r="N400" s="18">
        <f t="shared" si="89"/>
        <v>93399.99999999999</v>
      </c>
    </row>
    <row r="401" spans="1:14" ht="18" hidden="1">
      <c r="A401" s="33" t="str">
        <f t="shared" si="87"/>
        <v>Renewable Energy Costs</v>
      </c>
      <c r="B401" s="18">
        <v>3486872.79390124</v>
      </c>
      <c r="C401" s="18">
        <v>2741708.441312723</v>
      </c>
      <c r="D401" s="18">
        <v>3590136.5150548047</v>
      </c>
      <c r="E401" s="18">
        <v>2779359.3085659603</v>
      </c>
      <c r="F401" s="18">
        <v>2784994.417343206</v>
      </c>
      <c r="G401" s="18">
        <v>2618909.751436807</v>
      </c>
      <c r="H401" s="18">
        <v>1717217.969096475</v>
      </c>
      <c r="I401" s="18">
        <v>2189786.4878730625</v>
      </c>
      <c r="J401" s="18">
        <v>2911689.9538505357</v>
      </c>
      <c r="K401" s="18">
        <v>3877613.077048383</v>
      </c>
      <c r="L401" s="18">
        <v>3820944.663905799</v>
      </c>
      <c r="M401" s="18">
        <v>3337462.920604029</v>
      </c>
      <c r="N401" s="18">
        <f>SUM(B401:M401)</f>
        <v>35856696.29999302</v>
      </c>
    </row>
    <row r="402" spans="1:14" ht="18" customHeight="1" hidden="1">
      <c r="A402" s="33" t="str">
        <f t="shared" si="87"/>
        <v>7. Amortization of Pt Lepreau Replacement Costs</v>
      </c>
      <c r="B402" s="18">
        <f>-B415</f>
        <v>0</v>
      </c>
      <c r="C402" s="18">
        <f aca="true" t="shared" si="90" ref="C402:M402">-C415</f>
        <v>0</v>
      </c>
      <c r="D402" s="18">
        <f t="shared" si="90"/>
        <v>0</v>
      </c>
      <c r="E402" s="18">
        <v>0</v>
      </c>
      <c r="F402" s="18">
        <v>0</v>
      </c>
      <c r="G402" s="18">
        <v>0</v>
      </c>
      <c r="H402" s="18">
        <f t="shared" si="90"/>
        <v>0</v>
      </c>
      <c r="I402" s="18">
        <f t="shared" si="90"/>
        <v>0</v>
      </c>
      <c r="J402" s="18">
        <f t="shared" si="90"/>
        <v>0</v>
      </c>
      <c r="K402" s="18">
        <f t="shared" si="90"/>
        <v>0</v>
      </c>
      <c r="L402" s="18">
        <f t="shared" si="90"/>
        <v>0</v>
      </c>
      <c r="M402" s="18">
        <f t="shared" si="90"/>
        <v>0</v>
      </c>
      <c r="N402" s="18">
        <f>SUM(B402:M402)</f>
        <v>0</v>
      </c>
    </row>
    <row r="403" spans="1:15" ht="18" hidden="1">
      <c r="A403" s="33"/>
      <c r="B403" s="88">
        <v>13388219.303373126</v>
      </c>
      <c r="C403" s="88">
        <v>12400939.488171952</v>
      </c>
      <c r="D403" s="88">
        <v>12945426.717524428</v>
      </c>
      <c r="E403" s="88">
        <v>11101006.43393652</v>
      </c>
      <c r="F403" s="88">
        <v>11085358.423923407</v>
      </c>
      <c r="G403" s="88">
        <v>10829139.863767657</v>
      </c>
      <c r="H403" s="88">
        <v>11222222.429112293</v>
      </c>
      <c r="I403" s="88">
        <v>11431810.800343126</v>
      </c>
      <c r="J403" s="88">
        <v>10783290.440322272</v>
      </c>
      <c r="K403" s="88">
        <v>11087354.563918615</v>
      </c>
      <c r="L403" s="88">
        <v>11938915.121784726</v>
      </c>
      <c r="M403" s="88">
        <v>13810456.829608934</v>
      </c>
      <c r="N403" s="88">
        <f>SUM(N394:N402)</f>
        <v>142024140.41578704</v>
      </c>
      <c r="O403" s="89">
        <v>142024140.41578704</v>
      </c>
    </row>
    <row r="404" ht="18" hidden="1">
      <c r="A404" s="33"/>
    </row>
    <row r="405" spans="1:14" ht="18" hidden="1">
      <c r="A405" s="33" t="str">
        <f>+A328</f>
        <v>Current Month Replacement Energy Costs</v>
      </c>
      <c r="B405" s="118">
        <v>0</v>
      </c>
      <c r="C405" s="118">
        <v>0</v>
      </c>
      <c r="D405" s="118">
        <v>0</v>
      </c>
      <c r="E405" s="118">
        <v>0</v>
      </c>
      <c r="F405" s="118">
        <v>0</v>
      </c>
      <c r="G405" s="118">
        <v>0</v>
      </c>
      <c r="H405" s="118">
        <v>0</v>
      </c>
      <c r="I405" s="118">
        <v>0</v>
      </c>
      <c r="J405" s="118">
        <v>0</v>
      </c>
      <c r="K405" s="118">
        <v>0</v>
      </c>
      <c r="L405" s="118">
        <v>0</v>
      </c>
      <c r="M405" s="118">
        <v>0</v>
      </c>
      <c r="N405" s="139">
        <f>SUM(B405:M405)</f>
        <v>0</v>
      </c>
    </row>
    <row r="406" spans="1:14" ht="18" hidden="1">
      <c r="A406" s="33" t="str">
        <f>+A329</f>
        <v>Total Energy Costs - Incl Pt Lepreau Replacement</v>
      </c>
      <c r="B406" s="89">
        <f>+B403+B405</f>
        <v>13388219.303373126</v>
      </c>
      <c r="C406" s="89">
        <f aca="true" t="shared" si="91" ref="C406:M406">+C403+C405</f>
        <v>12400939.488171952</v>
      </c>
      <c r="D406" s="89">
        <f t="shared" si="91"/>
        <v>12945426.717524428</v>
      </c>
      <c r="E406" s="89">
        <f t="shared" si="91"/>
        <v>11101006.43393652</v>
      </c>
      <c r="F406" s="89">
        <f t="shared" si="91"/>
        <v>11085358.423923407</v>
      </c>
      <c r="G406" s="89">
        <f t="shared" si="91"/>
        <v>10829139.863767657</v>
      </c>
      <c r="H406" s="89">
        <f t="shared" si="91"/>
        <v>11222222.429112293</v>
      </c>
      <c r="I406" s="89">
        <f t="shared" si="91"/>
        <v>11431810.800343126</v>
      </c>
      <c r="J406" s="89">
        <f t="shared" si="91"/>
        <v>10783290.440322272</v>
      </c>
      <c r="K406" s="89">
        <f t="shared" si="91"/>
        <v>11087354.563918615</v>
      </c>
      <c r="L406" s="89">
        <f t="shared" si="91"/>
        <v>11938915.121784726</v>
      </c>
      <c r="M406" s="89">
        <f t="shared" si="91"/>
        <v>13810456.829608934</v>
      </c>
      <c r="N406" s="127">
        <f>SUM(B406:M406)</f>
        <v>142024140.41578707</v>
      </c>
    </row>
    <row r="407" ht="18" hidden="1">
      <c r="A407" s="33"/>
    </row>
    <row r="408" spans="1:15" ht="18" hidden="1">
      <c r="A408" s="33" t="str">
        <f>+A331</f>
        <v>Net Purchased &amp; Produced Energy - kWh (NPP)</v>
      </c>
      <c r="B408" s="18">
        <v>140833347.33789977</v>
      </c>
      <c r="C408" s="18">
        <v>127982315.64334421</v>
      </c>
      <c r="D408" s="18">
        <v>134903332.71267885</v>
      </c>
      <c r="E408" s="18">
        <v>111361274.6507982</v>
      </c>
      <c r="F408" s="18">
        <v>111779275.68171597</v>
      </c>
      <c r="G408" s="18">
        <v>107863266.02364425</v>
      </c>
      <c r="H408" s="18">
        <v>114125281.46768029</v>
      </c>
      <c r="I408" s="18">
        <v>116195286.57294291</v>
      </c>
      <c r="J408" s="18">
        <v>106866263.56473272</v>
      </c>
      <c r="K408" s="18">
        <v>110525272.58896266</v>
      </c>
      <c r="L408" s="18">
        <v>121018298.46795821</v>
      </c>
      <c r="M408" s="18">
        <v>145061357.76546043</v>
      </c>
      <c r="N408" s="18">
        <v>1448514572.4778183</v>
      </c>
      <c r="O408" s="89">
        <v>142024140.41578707</v>
      </c>
    </row>
    <row r="409" spans="1:14" ht="18" hidden="1">
      <c r="A409" s="33" t="str">
        <f>+A332</f>
        <v>Base Rate/kWh</v>
      </c>
      <c r="B409" s="149">
        <v>0.0979</v>
      </c>
      <c r="C409" s="149">
        <v>0.0979</v>
      </c>
      <c r="D409" s="149">
        <v>0.09805</v>
      </c>
      <c r="E409" s="149">
        <v>0.09805</v>
      </c>
      <c r="F409" s="149">
        <v>0.09805</v>
      </c>
      <c r="G409" s="149">
        <v>0.09805</v>
      </c>
      <c r="H409" s="149">
        <v>0.09805</v>
      </c>
      <c r="I409" s="149">
        <v>0.09805</v>
      </c>
      <c r="J409" s="149">
        <v>0.09805</v>
      </c>
      <c r="K409" s="149">
        <v>0.09805</v>
      </c>
      <c r="L409" s="149">
        <v>0.09805</v>
      </c>
      <c r="M409" s="149">
        <v>0.09805</v>
      </c>
      <c r="N409" s="149">
        <f>+N410/N408</f>
        <v>0.0980221629659699</v>
      </c>
    </row>
    <row r="410" spans="1:14" ht="18" hidden="1">
      <c r="A410" s="33" t="str">
        <f>+A333</f>
        <v>Base Energy Costs </v>
      </c>
      <c r="B410" s="90">
        <f>+B408*B409</f>
        <v>13787584.704380387</v>
      </c>
      <c r="C410" s="90">
        <f aca="true" t="shared" si="92" ref="C410:M410">+C408*C409</f>
        <v>12529468.701483399</v>
      </c>
      <c r="D410" s="90">
        <f t="shared" si="92"/>
        <v>13227271.772478161</v>
      </c>
      <c r="E410" s="90">
        <f t="shared" si="92"/>
        <v>10918972.979510764</v>
      </c>
      <c r="F410" s="90">
        <f t="shared" si="92"/>
        <v>10959957.98059225</v>
      </c>
      <c r="G410" s="90">
        <f t="shared" si="92"/>
        <v>10575993.233618319</v>
      </c>
      <c r="H410" s="90">
        <f t="shared" si="92"/>
        <v>11189983.847906053</v>
      </c>
      <c r="I410" s="90">
        <f t="shared" si="92"/>
        <v>11392947.848477053</v>
      </c>
      <c r="J410" s="90">
        <f t="shared" si="92"/>
        <v>10478237.142522043</v>
      </c>
      <c r="K410" s="90">
        <f t="shared" si="92"/>
        <v>10837002.97734779</v>
      </c>
      <c r="L410" s="90">
        <f t="shared" si="92"/>
        <v>11865844.164783303</v>
      </c>
      <c r="M410" s="90">
        <f t="shared" si="92"/>
        <v>14223266.128903395</v>
      </c>
      <c r="N410" s="90">
        <f>SUM(B410:M410)</f>
        <v>141986531.4820029</v>
      </c>
    </row>
    <row r="411" ht="18" hidden="1">
      <c r="A411" s="33"/>
    </row>
    <row r="412" spans="1:17" ht="18.75" hidden="1" thickBot="1">
      <c r="A412" s="33" t="s">
        <v>198</v>
      </c>
      <c r="B412" s="91">
        <f>+B406-B410</f>
        <v>-399365.4010072611</v>
      </c>
      <c r="C412" s="91">
        <f aca="true" t="shared" si="93" ref="C412:N412">+C406-C410</f>
        <v>-128529.21331144683</v>
      </c>
      <c r="D412" s="91">
        <f t="shared" si="93"/>
        <v>-281845.05495373346</v>
      </c>
      <c r="E412" s="91">
        <f t="shared" si="93"/>
        <v>182033.4544257559</v>
      </c>
      <c r="F412" s="91">
        <f t="shared" si="93"/>
        <v>125400.44333115593</v>
      </c>
      <c r="G412" s="91">
        <f t="shared" si="93"/>
        <v>253146.6301493384</v>
      </c>
      <c r="H412" s="91">
        <f t="shared" si="93"/>
        <v>32238.58120623976</v>
      </c>
      <c r="I412" s="91">
        <f t="shared" si="93"/>
        <v>38862.951866073534</v>
      </c>
      <c r="J412" s="91">
        <f t="shared" si="93"/>
        <v>305053.29780022986</v>
      </c>
      <c r="K412" s="91">
        <f t="shared" si="93"/>
        <v>250351.58657082543</v>
      </c>
      <c r="L412" s="91">
        <f t="shared" si="93"/>
        <v>73070.95700142346</v>
      </c>
      <c r="M412" s="91">
        <f t="shared" si="93"/>
        <v>-412809.29929446056</v>
      </c>
      <c r="N412" s="91">
        <f t="shared" si="93"/>
        <v>37608.93378415704</v>
      </c>
      <c r="Q412" s="89"/>
    </row>
    <row r="413" ht="13.5" hidden="1" thickTop="1"/>
    <row r="414" spans="1:14" ht="18" customHeight="1" hidden="1">
      <c r="A414" s="33" t="str">
        <f>+A337</f>
        <v>Opening Balance - Pt Lepreau Replacement Costs</v>
      </c>
      <c r="B414" s="89">
        <f>+N339</f>
        <v>0</v>
      </c>
      <c r="C414" s="89">
        <f>+B416</f>
        <v>0</v>
      </c>
      <c r="D414" s="89">
        <f aca="true" t="shared" si="94" ref="D414:M414">+C416</f>
        <v>0</v>
      </c>
      <c r="E414" s="89">
        <f t="shared" si="94"/>
        <v>0</v>
      </c>
      <c r="F414" s="89">
        <f t="shared" si="94"/>
        <v>0</v>
      </c>
      <c r="G414" s="89">
        <f t="shared" si="94"/>
        <v>0</v>
      </c>
      <c r="H414" s="89">
        <f t="shared" si="94"/>
        <v>0</v>
      </c>
      <c r="I414" s="89">
        <f t="shared" si="94"/>
        <v>0</v>
      </c>
      <c r="J414" s="89">
        <f t="shared" si="94"/>
        <v>0</v>
      </c>
      <c r="K414" s="89">
        <f t="shared" si="94"/>
        <v>0</v>
      </c>
      <c r="L414" s="89">
        <f t="shared" si="94"/>
        <v>0</v>
      </c>
      <c r="M414" s="89">
        <f t="shared" si="94"/>
        <v>0</v>
      </c>
      <c r="N414" s="128">
        <f>+B414</f>
        <v>0</v>
      </c>
    </row>
    <row r="415" spans="1:14" ht="18" customHeight="1" hidden="1">
      <c r="A415" s="33" t="str">
        <f>+A338</f>
        <v>Additions (Reductions)</v>
      </c>
      <c r="B415" s="114">
        <v>0</v>
      </c>
      <c r="C415" s="114">
        <v>0</v>
      </c>
      <c r="D415" s="114">
        <v>0</v>
      </c>
      <c r="E415" s="114">
        <v>0</v>
      </c>
      <c r="F415" s="114">
        <v>0</v>
      </c>
      <c r="G415" s="114">
        <v>0</v>
      </c>
      <c r="H415" s="114">
        <v>0</v>
      </c>
      <c r="I415" s="114">
        <v>0</v>
      </c>
      <c r="J415" s="114">
        <v>0</v>
      </c>
      <c r="K415" s="114">
        <v>0</v>
      </c>
      <c r="L415" s="114">
        <v>0</v>
      </c>
      <c r="M415" s="114">
        <v>0</v>
      </c>
      <c r="N415" s="131">
        <f>SUM(B415:M415)</f>
        <v>0</v>
      </c>
    </row>
    <row r="416" spans="1:14" ht="18" customHeight="1" hidden="1">
      <c r="A416" s="33" t="str">
        <f>+A339</f>
        <v>Closing Balance - Pt Lepreau Replacement Costs</v>
      </c>
      <c r="B416" s="89">
        <f>+B414+B415</f>
        <v>0</v>
      </c>
      <c r="C416" s="89">
        <f>+C414+C415</f>
        <v>0</v>
      </c>
      <c r="D416" s="89">
        <f aca="true" t="shared" si="95" ref="D416:M416">+D414+D415</f>
        <v>0</v>
      </c>
      <c r="E416" s="89">
        <f t="shared" si="95"/>
        <v>0</v>
      </c>
      <c r="F416" s="89">
        <f t="shared" si="95"/>
        <v>0</v>
      </c>
      <c r="G416" s="89">
        <f t="shared" si="95"/>
        <v>0</v>
      </c>
      <c r="H416" s="89">
        <f t="shared" si="95"/>
        <v>0</v>
      </c>
      <c r="I416" s="89">
        <f t="shared" si="95"/>
        <v>0</v>
      </c>
      <c r="J416" s="89">
        <f t="shared" si="95"/>
        <v>0</v>
      </c>
      <c r="K416" s="89">
        <f t="shared" si="95"/>
        <v>0</v>
      </c>
      <c r="L416" s="89">
        <f t="shared" si="95"/>
        <v>0</v>
      </c>
      <c r="M416" s="89">
        <f t="shared" si="95"/>
        <v>0</v>
      </c>
      <c r="N416" s="128">
        <f>+N414+N415</f>
        <v>0</v>
      </c>
    </row>
    <row r="417" ht="18" customHeight="1" hidden="1">
      <c r="A417" s="108"/>
    </row>
    <row r="418" spans="1:14" ht="18" hidden="1">
      <c r="A418" s="33" t="str">
        <f>+A341</f>
        <v>Opening Balance - ECAM</v>
      </c>
      <c r="B418" s="18">
        <f>+M344</f>
        <v>532474.9313596418</v>
      </c>
      <c r="C418" s="89">
        <f>+B421</f>
        <v>108573.02495266337</v>
      </c>
      <c r="D418" s="89">
        <f aca="true" t="shared" si="96" ref="D418:M418">+C421</f>
        <v>-44212.44925471236</v>
      </c>
      <c r="E418" s="89">
        <f t="shared" si="96"/>
        <v>-372821.92660340865</v>
      </c>
      <c r="F418" s="89">
        <f t="shared" si="96"/>
        <v>-236753.60316662895</v>
      </c>
      <c r="G418" s="89">
        <f t="shared" si="96"/>
        <v>-152858.98309088484</v>
      </c>
      <c r="H418" s="89">
        <f t="shared" si="96"/>
        <v>61002.96524331793</v>
      </c>
      <c r="I418" s="89">
        <f t="shared" si="96"/>
        <v>53140.15153924959</v>
      </c>
      <c r="J418" s="89">
        <f t="shared" si="96"/>
        <v>49826.17147678699</v>
      </c>
      <c r="K418" s="89">
        <f t="shared" si="96"/>
        <v>313028.7000193874</v>
      </c>
      <c r="L418" s="89">
        <f t="shared" si="96"/>
        <v>523991.4396305572</v>
      </c>
      <c r="M418" s="89">
        <f t="shared" si="96"/>
        <v>555851.443295227</v>
      </c>
      <c r="N418" s="89">
        <f>+B418</f>
        <v>532474.9313596418</v>
      </c>
    </row>
    <row r="419" spans="1:14" ht="18" hidden="1">
      <c r="A419" s="33" t="str">
        <f>+A342</f>
        <v>Additions/(Reductions)</v>
      </c>
      <c r="B419" s="89">
        <f>+B412</f>
        <v>-399365.4010072611</v>
      </c>
      <c r="C419" s="89">
        <f>+C412</f>
        <v>-128529.21331144683</v>
      </c>
      <c r="D419" s="89">
        <f aca="true" t="shared" si="97" ref="D419:M419">+D412</f>
        <v>-281845.05495373346</v>
      </c>
      <c r="E419" s="89">
        <f t="shared" si="97"/>
        <v>182033.4544257559</v>
      </c>
      <c r="F419" s="89">
        <f t="shared" si="97"/>
        <v>125400.44333115593</v>
      </c>
      <c r="G419" s="89">
        <f t="shared" si="97"/>
        <v>253146.6301493384</v>
      </c>
      <c r="H419" s="89">
        <f t="shared" si="97"/>
        <v>32238.58120623976</v>
      </c>
      <c r="I419" s="89">
        <f t="shared" si="97"/>
        <v>38862.951866073534</v>
      </c>
      <c r="J419" s="89">
        <f t="shared" si="97"/>
        <v>305053.29780022986</v>
      </c>
      <c r="K419" s="89">
        <f t="shared" si="97"/>
        <v>250351.58657082543</v>
      </c>
      <c r="L419" s="89">
        <f t="shared" si="97"/>
        <v>73070.95700142346</v>
      </c>
      <c r="M419" s="89">
        <f t="shared" si="97"/>
        <v>-412809.29929446056</v>
      </c>
      <c r="N419" s="89">
        <f>SUM(B419:M419)</f>
        <v>37608.933784140274</v>
      </c>
    </row>
    <row r="420" spans="1:14" ht="18" hidden="1">
      <c r="A420" s="33" t="str">
        <f>+A343</f>
        <v>Rebated/(Collected) From Ratepayer</v>
      </c>
      <c r="B420" s="112">
        <v>-24536.505399717345</v>
      </c>
      <c r="C420" s="112">
        <v>-24256.2608959289</v>
      </c>
      <c r="D420" s="112">
        <v>-46764.422394962785</v>
      </c>
      <c r="E420" s="112">
        <v>-45965.13098897619</v>
      </c>
      <c r="F420" s="112">
        <v>-41505.823255411815</v>
      </c>
      <c r="G420" s="112">
        <v>-39284.68181513563</v>
      </c>
      <c r="H420" s="112">
        <v>-40101.394910308096</v>
      </c>
      <c r="I420" s="112">
        <v>-42176.931928536134</v>
      </c>
      <c r="J420" s="112">
        <v>-41850.769257629436</v>
      </c>
      <c r="K420" s="112">
        <v>-39388.84695965567</v>
      </c>
      <c r="L420" s="112">
        <v>-41210.95333675361</v>
      </c>
      <c r="M420" s="112">
        <v>-50633.21516588099</v>
      </c>
      <c r="N420" s="112">
        <f>SUM(B420:M420)</f>
        <v>-477674.9363088966</v>
      </c>
    </row>
    <row r="421" spans="1:14" ht="18" hidden="1">
      <c r="A421" s="33" t="str">
        <f>+A344</f>
        <v>Closing Balance - ECAM </v>
      </c>
      <c r="B421" s="88">
        <f>SUM(B418:B420)</f>
        <v>108573.02495266337</v>
      </c>
      <c r="C421" s="88">
        <f aca="true" t="shared" si="98" ref="C421:N421">SUM(C418:C420)</f>
        <v>-44212.44925471236</v>
      </c>
      <c r="D421" s="88">
        <f t="shared" si="98"/>
        <v>-372821.92660340865</v>
      </c>
      <c r="E421" s="88">
        <f t="shared" si="98"/>
        <v>-236753.60316662895</v>
      </c>
      <c r="F421" s="88">
        <f t="shared" si="98"/>
        <v>-152858.98309088484</v>
      </c>
      <c r="G421" s="88">
        <f t="shared" si="98"/>
        <v>61002.96524331793</v>
      </c>
      <c r="H421" s="88">
        <f t="shared" si="98"/>
        <v>53140.15153924959</v>
      </c>
      <c r="I421" s="88">
        <f t="shared" si="98"/>
        <v>49826.17147678699</v>
      </c>
      <c r="J421" s="88">
        <f t="shared" si="98"/>
        <v>313028.7000193874</v>
      </c>
      <c r="K421" s="88">
        <f t="shared" si="98"/>
        <v>523991.4396305572</v>
      </c>
      <c r="L421" s="88">
        <f t="shared" si="98"/>
        <v>555851.443295227</v>
      </c>
      <c r="M421" s="88">
        <f t="shared" si="98"/>
        <v>92408.92883488546</v>
      </c>
      <c r="N421" s="88">
        <f t="shared" si="98"/>
        <v>92408.92883488553</v>
      </c>
    </row>
    <row r="422" spans="1:14" ht="20.25" customHeight="1" hidden="1" thickBot="1">
      <c r="A422" s="33" t="str">
        <f>+A345</f>
        <v>General Ledger Closing Balance</v>
      </c>
      <c r="B422" s="92">
        <f>+B416+B421</f>
        <v>108573.02495266337</v>
      </c>
      <c r="C422" s="92">
        <f aca="true" t="shared" si="99" ref="C422:M422">+C416+C421</f>
        <v>-44212.44925471236</v>
      </c>
      <c r="D422" s="92">
        <f t="shared" si="99"/>
        <v>-372821.92660340865</v>
      </c>
      <c r="E422" s="92">
        <f t="shared" si="99"/>
        <v>-236753.60316662895</v>
      </c>
      <c r="F422" s="92">
        <f t="shared" si="99"/>
        <v>-152858.98309088484</v>
      </c>
      <c r="G422" s="92">
        <f t="shared" si="99"/>
        <v>61002.96524331793</v>
      </c>
      <c r="H422" s="92">
        <f t="shared" si="99"/>
        <v>53140.15153924959</v>
      </c>
      <c r="I422" s="92">
        <f t="shared" si="99"/>
        <v>49826.17147678699</v>
      </c>
      <c r="J422" s="92">
        <f t="shared" si="99"/>
        <v>313028.7000193874</v>
      </c>
      <c r="K422" s="92">
        <f t="shared" si="99"/>
        <v>523991.4396305572</v>
      </c>
      <c r="L422" s="92">
        <f t="shared" si="99"/>
        <v>555851.443295227</v>
      </c>
      <c r="M422" s="92">
        <f t="shared" si="99"/>
        <v>92408.92883488546</v>
      </c>
      <c r="N422" s="92">
        <f>+N416+N421</f>
        <v>92408.92883488553</v>
      </c>
    </row>
    <row r="423" ht="13.5" hidden="1" thickTop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</sheetData>
  <sheetProtection/>
  <mergeCells count="3">
    <mergeCell ref="A1:N1"/>
    <mergeCell ref="A2:N2"/>
    <mergeCell ref="A3:N3"/>
  </mergeCells>
  <printOptions horizontalCentered="1"/>
  <pageMargins left="0.5" right="0.5" top="0.5" bottom="0.5" header="0.5" footer="0.5"/>
  <pageSetup fitToHeight="6" horizontalDpi="600" verticalDpi="600" orientation="landscape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68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0.140625" style="0" bestFit="1" customWidth="1"/>
    <col min="2" max="2" width="11.8515625" style="0" customWidth="1"/>
    <col min="3" max="3" width="12.00390625" style="0" bestFit="1" customWidth="1"/>
    <col min="4" max="12" width="13.57421875" style="0" bestFit="1" customWidth="1"/>
  </cols>
  <sheetData>
    <row r="1" spans="2:12" ht="12.75">
      <c r="B1" s="13"/>
      <c r="C1" s="13">
        <v>37376</v>
      </c>
      <c r="D1" s="13">
        <v>37407</v>
      </c>
      <c r="E1" s="13">
        <v>37437</v>
      </c>
      <c r="F1" s="13">
        <v>37468</v>
      </c>
      <c r="G1" s="13">
        <v>37499</v>
      </c>
      <c r="H1" s="13">
        <v>37529</v>
      </c>
      <c r="I1" s="13">
        <v>37560</v>
      </c>
      <c r="J1" s="13">
        <v>37590</v>
      </c>
      <c r="K1" s="13">
        <v>37621</v>
      </c>
      <c r="L1" s="13" t="s">
        <v>92</v>
      </c>
    </row>
    <row r="3" ht="12.75">
      <c r="A3" t="s">
        <v>142</v>
      </c>
    </row>
    <row r="5" spans="1:150" ht="12.75">
      <c r="A5" t="s">
        <v>129</v>
      </c>
      <c r="C5" s="28">
        <v>481559.336705924</v>
      </c>
      <c r="D5" s="28">
        <v>503275.0400553387</v>
      </c>
      <c r="E5" s="28">
        <v>497864.23274068814</v>
      </c>
      <c r="F5" s="28">
        <v>476933.37746860593</v>
      </c>
      <c r="G5" s="28">
        <v>510731.6655282014</v>
      </c>
      <c r="H5" s="28">
        <v>515877.1293891451</v>
      </c>
      <c r="I5" s="28">
        <v>515081.4429599148</v>
      </c>
      <c r="J5" s="28">
        <v>523181.413265697</v>
      </c>
      <c r="K5" s="28">
        <v>535525.8065725436</v>
      </c>
      <c r="L5" s="28">
        <f>SUM(B5:K5)</f>
        <v>4560029.444686059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</row>
    <row r="6" spans="1:150" ht="12.75">
      <c r="A6" t="s">
        <v>112</v>
      </c>
      <c r="C6" s="28">
        <v>359484.8651195459</v>
      </c>
      <c r="D6" s="28">
        <v>355509.69021071296</v>
      </c>
      <c r="E6" s="28">
        <v>385395.4293125221</v>
      </c>
      <c r="F6" s="28">
        <v>387462.34870379564</v>
      </c>
      <c r="G6" s="28">
        <v>432824.0619028024</v>
      </c>
      <c r="H6" s="28">
        <v>426319.09597162105</v>
      </c>
      <c r="I6" s="28">
        <v>400935.0712720822</v>
      </c>
      <c r="J6" s="28">
        <v>392196.8645335225</v>
      </c>
      <c r="K6" s="28">
        <v>383337.0171777226</v>
      </c>
      <c r="L6" s="28">
        <f aca="true" t="shared" si="0" ref="L6:L21">SUM(B6:K6)</f>
        <v>3523464.444204327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</row>
    <row r="7" spans="1:150" ht="12.75">
      <c r="A7" t="s">
        <v>113</v>
      </c>
      <c r="C7" s="28">
        <v>5679.67101241575</v>
      </c>
      <c r="D7" s="28">
        <v>5495.950688896771</v>
      </c>
      <c r="E7" s="28">
        <v>5802.849207520398</v>
      </c>
      <c r="F7" s="28">
        <v>5270.796688187301</v>
      </c>
      <c r="G7" s="28">
        <v>5815.261102518623</v>
      </c>
      <c r="H7" s="28">
        <v>5629.588459737494</v>
      </c>
      <c r="I7" s="28">
        <v>5319.624901028734</v>
      </c>
      <c r="J7" s="28">
        <v>5540.985535296204</v>
      </c>
      <c r="K7" s="28">
        <v>5932.774537069882</v>
      </c>
      <c r="L7" s="28">
        <f t="shared" si="0"/>
        <v>50487.50213267116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</row>
    <row r="8" spans="1:150" ht="12.75">
      <c r="A8" t="s">
        <v>143</v>
      </c>
      <c r="C8" s="28">
        <v>73229.510564</v>
      </c>
      <c r="D8" s="28">
        <v>117671.86576516494</v>
      </c>
      <c r="E8" s="28">
        <v>98663.00305498404</v>
      </c>
      <c r="F8" s="28">
        <v>87988.91497552324</v>
      </c>
      <c r="G8" s="28">
        <v>83629.09270947144</v>
      </c>
      <c r="H8" s="28">
        <v>90717.62001844627</v>
      </c>
      <c r="I8" s="28">
        <v>95755.10949698473</v>
      </c>
      <c r="J8" s="28">
        <v>95921.96704221355</v>
      </c>
      <c r="K8" s="28">
        <v>95272.34039446611</v>
      </c>
      <c r="L8" s="28">
        <f t="shared" si="0"/>
        <v>838849.4240212543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</row>
    <row r="9" spans="1:150" ht="12.75">
      <c r="A9" t="s">
        <v>144</v>
      </c>
      <c r="C9" s="28">
        <v>47755.23638311458</v>
      </c>
      <c r="D9" s="28">
        <v>55055.88874352608</v>
      </c>
      <c r="E9" s="28">
        <v>66925.25141539553</v>
      </c>
      <c r="F9" s="28">
        <v>62898.94192692444</v>
      </c>
      <c r="G9" s="28">
        <v>69067.01645548065</v>
      </c>
      <c r="H9" s="28">
        <v>69407.06393898545</v>
      </c>
      <c r="I9" s="28">
        <v>65492.92682511529</v>
      </c>
      <c r="J9" s="28">
        <v>58322.391991486336</v>
      </c>
      <c r="K9" s="28">
        <v>54559.4534061724</v>
      </c>
      <c r="L9" s="28">
        <f t="shared" si="0"/>
        <v>549484.1710862007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</row>
    <row r="10" spans="1:150" ht="12.75">
      <c r="A10" t="s">
        <v>145</v>
      </c>
      <c r="C10" s="28">
        <v>15230.872046825118</v>
      </c>
      <c r="D10" s="28">
        <v>15008.509963816958</v>
      </c>
      <c r="E10" s="28">
        <v>14912.977823341607</v>
      </c>
      <c r="F10" s="28">
        <v>15323.58192266761</v>
      </c>
      <c r="G10" s="28">
        <v>15148.004692444127</v>
      </c>
      <c r="H10" s="28">
        <v>15148.540821567934</v>
      </c>
      <c r="I10" s="28">
        <v>15201.324251152892</v>
      </c>
      <c r="J10" s="28">
        <v>15264.233440227028</v>
      </c>
      <c r="K10" s="28">
        <v>15347.343570060306</v>
      </c>
      <c r="L10" s="28">
        <f t="shared" si="0"/>
        <v>136585.38853210356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</row>
    <row r="11" spans="1:150" ht="12.75">
      <c r="A11" t="s">
        <v>146</v>
      </c>
      <c r="C11" s="28">
        <v>1727.9947442355444</v>
      </c>
      <c r="D11" s="28">
        <v>1640.7877786449094</v>
      </c>
      <c r="E11" s="28">
        <v>1372.3287066335577</v>
      </c>
      <c r="F11" s="28">
        <v>1509.4867215324584</v>
      </c>
      <c r="G11" s="28">
        <v>1840.6627853848881</v>
      </c>
      <c r="H11" s="28">
        <v>1536.1616743526072</v>
      </c>
      <c r="I11" s="28">
        <v>1541.978169563675</v>
      </c>
      <c r="J11" s="28">
        <v>1543.970951401206</v>
      </c>
      <c r="K11" s="28">
        <v>1927.111077687123</v>
      </c>
      <c r="L11" s="28">
        <f t="shared" si="0"/>
        <v>14640.48260943597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</row>
    <row r="12" spans="3:150" ht="12.75">
      <c r="C12" s="28">
        <f>SUM(C5:C11)</f>
        <v>984667.486576061</v>
      </c>
      <c r="D12" s="28">
        <f aca="true" t="shared" si="1" ref="D12:K12">SUM(D5:D11)</f>
        <v>1053657.7332061012</v>
      </c>
      <c r="E12" s="28">
        <f t="shared" si="1"/>
        <v>1070936.0722610853</v>
      </c>
      <c r="F12" s="28">
        <f t="shared" si="1"/>
        <v>1037387.4484072365</v>
      </c>
      <c r="G12" s="28">
        <f t="shared" si="1"/>
        <v>1119055.7651763035</v>
      </c>
      <c r="H12" s="28">
        <f t="shared" si="1"/>
        <v>1124635.2002738558</v>
      </c>
      <c r="I12" s="28">
        <f t="shared" si="1"/>
        <v>1099327.4778758422</v>
      </c>
      <c r="J12" s="28">
        <f t="shared" si="1"/>
        <v>1091971.8267598439</v>
      </c>
      <c r="K12" s="28">
        <f t="shared" si="1"/>
        <v>1091901.846735722</v>
      </c>
      <c r="L12" s="28">
        <f t="shared" si="0"/>
        <v>9673540.85727205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</row>
    <row r="13" spans="3:150" ht="12.75">
      <c r="C13" s="29">
        <v>-984667.49</v>
      </c>
      <c r="D13" s="29">
        <v>-1053657.73</v>
      </c>
      <c r="E13" s="29">
        <v>-1070936.07</v>
      </c>
      <c r="F13" s="29">
        <v>-1037387.45</v>
      </c>
      <c r="G13" s="29">
        <v>-1119055.77</v>
      </c>
      <c r="H13" s="29">
        <v>-1124635.2</v>
      </c>
      <c r="I13" s="29">
        <v>-1099327.48</v>
      </c>
      <c r="J13" s="29">
        <v>-1091971.83</v>
      </c>
      <c r="K13" s="29">
        <v>-1091901.85</v>
      </c>
      <c r="L13" s="28">
        <f t="shared" si="0"/>
        <v>-9673540.87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</row>
    <row r="14" spans="3:150" ht="12.75">
      <c r="C14" s="29"/>
      <c r="D14" s="29"/>
      <c r="E14" s="29"/>
      <c r="F14" s="29"/>
      <c r="G14" s="29"/>
      <c r="H14" s="29"/>
      <c r="I14" s="29"/>
      <c r="J14" s="29"/>
      <c r="K14" s="29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</row>
    <row r="15" spans="3:150" ht="12.75">
      <c r="C15" s="28">
        <f>+C12+C13</f>
        <v>-0.0034239389933645725</v>
      </c>
      <c r="D15" s="28">
        <f aca="true" t="shared" si="2" ref="D15:J15">+D12+D13</f>
        <v>0.00320610124617815</v>
      </c>
      <c r="E15" s="28">
        <f t="shared" si="2"/>
        <v>0.0022610852029174566</v>
      </c>
      <c r="F15" s="28">
        <f t="shared" si="2"/>
        <v>-0.0015927634667605162</v>
      </c>
      <c r="G15" s="28">
        <f t="shared" si="2"/>
        <v>-0.004823696566745639</v>
      </c>
      <c r="H15" s="28">
        <f t="shared" si="2"/>
        <v>0.00027385586872696877</v>
      </c>
      <c r="I15" s="28">
        <f t="shared" si="2"/>
        <v>-0.0021241577342152596</v>
      </c>
      <c r="J15" s="28">
        <f t="shared" si="2"/>
        <v>-0.0032401562202721834</v>
      </c>
      <c r="K15" s="28">
        <f>+K12+K13</f>
        <v>-0.0032642781734466553</v>
      </c>
      <c r="L15" s="28">
        <f>+L12+L13</f>
        <v>-0.012727949768304825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</row>
    <row r="16" spans="1:150" ht="12.75">
      <c r="A16" t="s">
        <v>143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</row>
    <row r="17" spans="1:150" ht="12.75">
      <c r="A17" t="s">
        <v>131</v>
      </c>
      <c r="C17" s="28">
        <v>67505.26950620001</v>
      </c>
      <c r="D17" s="28">
        <v>70171.41210358283</v>
      </c>
      <c r="E17" s="28">
        <v>71259.08659240865</v>
      </c>
      <c r="F17" s="28">
        <v>60919.856671159985</v>
      </c>
      <c r="G17" s="28">
        <v>63100.20277687123</v>
      </c>
      <c r="H17" s="28">
        <v>69324.5405164952</v>
      </c>
      <c r="I17" s="28">
        <v>73183.20343951756</v>
      </c>
      <c r="J17" s="28">
        <v>69244.85958992552</v>
      </c>
      <c r="K17" s="28">
        <v>70095.97974742817</v>
      </c>
      <c r="L17" s="28">
        <f t="shared" si="0"/>
        <v>614804.4109435892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</row>
    <row r="18" spans="1:150" ht="12.75">
      <c r="A18" t="s">
        <v>147</v>
      </c>
      <c r="C18" s="28">
        <v>5352.9622106000015</v>
      </c>
      <c r="D18" s="28">
        <v>5203.932282369634</v>
      </c>
      <c r="E18" s="28">
        <v>4927.754974104292</v>
      </c>
      <c r="F18" s="28">
        <v>5072.894231997162</v>
      </c>
      <c r="G18" s="28">
        <v>5218.579734657679</v>
      </c>
      <c r="H18" s="28">
        <v>5112.36547428166</v>
      </c>
      <c r="I18" s="28">
        <v>5342.6278751330265</v>
      </c>
      <c r="J18" s="28">
        <v>5123.644417169208</v>
      </c>
      <c r="K18" s="28">
        <v>3513.324957786449</v>
      </c>
      <c r="L18" s="28">
        <f t="shared" si="0"/>
        <v>44868.086158099104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</row>
    <row r="19" spans="1:150" ht="12.75">
      <c r="A19" t="s">
        <v>132</v>
      </c>
      <c r="C19" s="28">
        <v>14578.990354000001</v>
      </c>
      <c r="D19" s="28">
        <v>15109.211198297267</v>
      </c>
      <c r="E19" s="28">
        <v>15926.433833274212</v>
      </c>
      <c r="F19" s="28">
        <v>15601.043917701312</v>
      </c>
      <c r="G19" s="28">
        <v>11204.653599148633</v>
      </c>
      <c r="H19" s="28">
        <v>13804.252679673642</v>
      </c>
      <c r="I19" s="28">
        <v>14601.557611919117</v>
      </c>
      <c r="J19" s="28">
        <v>15309.47059950337</v>
      </c>
      <c r="K19" s="28">
        <v>15246.429907059239</v>
      </c>
      <c r="L19" s="28">
        <f t="shared" si="0"/>
        <v>131382.04370057682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</row>
    <row r="20" spans="1:150" ht="12.75">
      <c r="A20" t="s">
        <v>148</v>
      </c>
      <c r="C20" s="28">
        <v>6512.418493200001</v>
      </c>
      <c r="D20" s="28">
        <v>6467.184001418943</v>
      </c>
      <c r="E20" s="28">
        <v>6549.727655196879</v>
      </c>
      <c r="F20" s="28">
        <v>6395.120154664775</v>
      </c>
      <c r="G20" s="28">
        <v>4105.656598793898</v>
      </c>
      <c r="H20" s="28">
        <v>2476.461347995743</v>
      </c>
      <c r="I20" s="28">
        <v>2627.7205704150406</v>
      </c>
      <c r="J20" s="28">
        <v>6244.002551259311</v>
      </c>
      <c r="K20" s="28">
        <v>6416.626013479958</v>
      </c>
      <c r="L20" s="28">
        <f t="shared" si="0"/>
        <v>47794.91738642455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</row>
    <row r="21" spans="3:150" ht="12.75">
      <c r="C21" s="28">
        <f>SUM(C17:C20)</f>
        <v>93949.64056400003</v>
      </c>
      <c r="D21" s="28">
        <f>SUM(D17:D20)</f>
        <v>96951.73958566866</v>
      </c>
      <c r="E21" s="28">
        <f aca="true" t="shared" si="3" ref="E21:K21">SUM(E17:E20)</f>
        <v>98663.00305498403</v>
      </c>
      <c r="F21" s="28">
        <f t="shared" si="3"/>
        <v>87988.91497552325</v>
      </c>
      <c r="G21" s="28">
        <f t="shared" si="3"/>
        <v>83629.09270947143</v>
      </c>
      <c r="H21" s="28">
        <f t="shared" si="3"/>
        <v>90717.62001844625</v>
      </c>
      <c r="I21" s="28">
        <f t="shared" si="3"/>
        <v>95755.10949698473</v>
      </c>
      <c r="J21" s="28">
        <f t="shared" si="3"/>
        <v>95921.97715785741</v>
      </c>
      <c r="K21" s="28">
        <f t="shared" si="3"/>
        <v>95272.3606257538</v>
      </c>
      <c r="L21" s="28">
        <f t="shared" si="0"/>
        <v>838849.4581886895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</row>
    <row r="22" spans="3:150" ht="12.7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</row>
    <row r="23" spans="3:150" ht="12.75">
      <c r="C23" s="28">
        <f aca="true" t="shared" si="4" ref="C23:K23">+C21-C8</f>
        <v>20720.130000000034</v>
      </c>
      <c r="D23" s="28">
        <f t="shared" si="4"/>
        <v>-20720.126179496277</v>
      </c>
      <c r="E23" s="28">
        <f t="shared" si="4"/>
        <v>0</v>
      </c>
      <c r="F23" s="28">
        <f t="shared" si="4"/>
        <v>0</v>
      </c>
      <c r="G23" s="28">
        <f t="shared" si="4"/>
        <v>0</v>
      </c>
      <c r="H23" s="28">
        <f t="shared" si="4"/>
        <v>0</v>
      </c>
      <c r="I23" s="28">
        <f t="shared" si="4"/>
        <v>0</v>
      </c>
      <c r="J23" s="28">
        <f t="shared" si="4"/>
        <v>0.010115643861354329</v>
      </c>
      <c r="K23" s="28">
        <f t="shared" si="4"/>
        <v>0.020231287693604827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</row>
    <row r="24" spans="1:150" ht="12.75">
      <c r="A24" t="s">
        <v>124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</row>
    <row r="25" spans="3:150" ht="12.7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</row>
    <row r="26" spans="1:150" ht="12.75">
      <c r="A26" t="s">
        <v>129</v>
      </c>
      <c r="C26" s="28">
        <v>-5739.43670592406</v>
      </c>
      <c r="D26" s="28">
        <v>-5753.530055338691</v>
      </c>
      <c r="E26" s="28">
        <v>-5691.672740688198</v>
      </c>
      <c r="F26" s="28">
        <v>-5452.387468605884</v>
      </c>
      <c r="G26" s="28">
        <v>-5838.775528201484</v>
      </c>
      <c r="H26" s="28">
        <v>-5897.599389145093</v>
      </c>
      <c r="I26" s="28">
        <v>-5888.502959914855</v>
      </c>
      <c r="J26" s="28">
        <v>-5981.10326569702</v>
      </c>
      <c r="K26" s="28">
        <v>-6122.226572543499</v>
      </c>
      <c r="L26" s="28">
        <f aca="true" t="shared" si="5" ref="L26:L40">SUM(B26:K26)</f>
        <v>-52365.234686058786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</row>
    <row r="27" spans="1:150" ht="12.75">
      <c r="A27" t="s">
        <v>112</v>
      </c>
      <c r="C27" s="28">
        <v>-4109.695119545911</v>
      </c>
      <c r="D27" s="28">
        <v>-4064.250210712955</v>
      </c>
      <c r="E27" s="28">
        <v>-4405.909312522155</v>
      </c>
      <c r="F27" s="28">
        <v>-4429.538703795639</v>
      </c>
      <c r="G27" s="28">
        <v>-4948.121902802377</v>
      </c>
      <c r="H27" s="28">
        <v>-4873.755971621082</v>
      </c>
      <c r="I27" s="28">
        <v>-4583.561272082268</v>
      </c>
      <c r="J27" s="28">
        <v>-4483.664533522504</v>
      </c>
      <c r="K27" s="28">
        <v>-4382.3771777225775</v>
      </c>
      <c r="L27" s="28">
        <f t="shared" si="5"/>
        <v>-40280.87420432747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</row>
    <row r="28" spans="1:150" ht="12.75">
      <c r="A28" t="s">
        <v>113</v>
      </c>
      <c r="C28" s="28">
        <v>-64.93101241575005</v>
      </c>
      <c r="D28" s="28">
        <v>-62.83068889677088</v>
      </c>
      <c r="E28" s="28">
        <v>-66.3392075203974</v>
      </c>
      <c r="F28" s="28">
        <v>-60.256688187300824</v>
      </c>
      <c r="G28" s="28">
        <v>-66.48110251862363</v>
      </c>
      <c r="H28" s="28">
        <v>-64.35845973749474</v>
      </c>
      <c r="I28" s="28">
        <v>-60.8149010287334</v>
      </c>
      <c r="J28" s="28">
        <v>-63.34553529620371</v>
      </c>
      <c r="K28" s="28">
        <v>-67.82453706988235</v>
      </c>
      <c r="L28" s="28">
        <f t="shared" si="5"/>
        <v>-577.182132671157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</row>
    <row r="29" spans="1:150" ht="12.75">
      <c r="A29" t="s">
        <v>143</v>
      </c>
      <c r="C29" s="28">
        <v>-837.17</v>
      </c>
      <c r="D29" s="28">
        <v>-1345.2457651649456</v>
      </c>
      <c r="E29" s="28">
        <v>-1127.9330549840379</v>
      </c>
      <c r="F29" s="28">
        <v>-1005.9049755232409</v>
      </c>
      <c r="G29" s="28">
        <v>-956.0627094714437</v>
      </c>
      <c r="H29" s="28">
        <v>-1037.100018446261</v>
      </c>
      <c r="I29" s="28">
        <v>-1094.6894969847344</v>
      </c>
      <c r="J29" s="28">
        <v>-1096.5970422135579</v>
      </c>
      <c r="K29" s="28">
        <v>-1089.170394466113</v>
      </c>
      <c r="L29" s="28">
        <f t="shared" si="5"/>
        <v>-9589.873457254334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</row>
    <row r="30" spans="1:150" ht="12.75">
      <c r="A30" t="s">
        <v>144</v>
      </c>
      <c r="C30" s="28">
        <v>-545.9463831145767</v>
      </c>
      <c r="D30" s="28">
        <v>-629.4087435260735</v>
      </c>
      <c r="E30" s="28">
        <v>-765.101415395533</v>
      </c>
      <c r="F30" s="28">
        <v>-719.0719269244364</v>
      </c>
      <c r="G30" s="28">
        <v>-789.5864554806612</v>
      </c>
      <c r="H30" s="28">
        <v>-793.4739389854512</v>
      </c>
      <c r="I30" s="28">
        <v>-748.7268251152927</v>
      </c>
      <c r="J30" s="28">
        <v>-666.7519914863369</v>
      </c>
      <c r="K30" s="28">
        <v>-623.7334061723959</v>
      </c>
      <c r="L30" s="28">
        <f t="shared" si="5"/>
        <v>-6281.801086200758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</row>
    <row r="31" spans="1:150" ht="12.75">
      <c r="A31" t="s">
        <v>145</v>
      </c>
      <c r="C31" s="28">
        <v>-174.12204682511583</v>
      </c>
      <c r="D31" s="28">
        <v>-171.57996381695557</v>
      </c>
      <c r="E31" s="28">
        <v>-170.48782334160933</v>
      </c>
      <c r="F31" s="28">
        <v>-175.1819226676107</v>
      </c>
      <c r="G31" s="28">
        <v>-173.17469244412678</v>
      </c>
      <c r="H31" s="28">
        <v>-173.18082156793207</v>
      </c>
      <c r="I31" s="28">
        <v>-173.78425115289065</v>
      </c>
      <c r="J31" s="28">
        <v>-174.5034402270303</v>
      </c>
      <c r="K31" s="28">
        <v>-175.45357006030463</v>
      </c>
      <c r="L31" s="28">
        <f t="shared" si="5"/>
        <v>-1561.4685321035759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</row>
    <row r="32" spans="1:150" ht="12.75">
      <c r="A32" t="s">
        <v>146</v>
      </c>
      <c r="C32" s="28">
        <v>-19.754744235544422</v>
      </c>
      <c r="D32" s="28">
        <v>-18.757778644909422</v>
      </c>
      <c r="E32" s="28">
        <v>-15.688706633557786</v>
      </c>
      <c r="F32" s="28">
        <v>-17.256721532458414</v>
      </c>
      <c r="G32" s="28">
        <v>-21.04278538488802</v>
      </c>
      <c r="H32" s="28">
        <v>-17.56167435260727</v>
      </c>
      <c r="I32" s="28">
        <v>-17.6281695636751</v>
      </c>
      <c r="J32" s="28">
        <v>-17.650951401206157</v>
      </c>
      <c r="K32" s="28">
        <v>-22.031077687123116</v>
      </c>
      <c r="L32" s="28">
        <f t="shared" si="5"/>
        <v>-167.3726094359697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</row>
    <row r="33" spans="3:150" ht="12.75">
      <c r="C33" s="28">
        <f>SUM(C26:C32)</f>
        <v>-11491.056012060959</v>
      </c>
      <c r="D33" s="28">
        <f aca="true" t="shared" si="6" ref="D33:L33">SUM(D26:D32)</f>
        <v>-12045.603206101301</v>
      </c>
      <c r="E33" s="28">
        <f t="shared" si="6"/>
        <v>-12243.13226108549</v>
      </c>
      <c r="F33" s="28">
        <f t="shared" si="6"/>
        <v>-11859.59840723657</v>
      </c>
      <c r="G33" s="28">
        <f t="shared" si="6"/>
        <v>-12793.245176303606</v>
      </c>
      <c r="H33" s="28">
        <f t="shared" si="6"/>
        <v>-12857.03027385592</v>
      </c>
      <c r="I33" s="28">
        <f t="shared" si="6"/>
        <v>-12567.70787584245</v>
      </c>
      <c r="J33" s="28">
        <f t="shared" si="6"/>
        <v>-12483.61675984386</v>
      </c>
      <c r="K33" s="28">
        <f t="shared" si="6"/>
        <v>-12482.816735721895</v>
      </c>
      <c r="L33" s="28">
        <f t="shared" si="6"/>
        <v>-110823.80670805204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</row>
    <row r="34" spans="3:150" ht="12.75">
      <c r="C34" s="6"/>
      <c r="D34" s="6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</row>
    <row r="35" spans="1:150" ht="12.75">
      <c r="A35" t="s">
        <v>143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</row>
    <row r="36" spans="1:150" ht="12.75">
      <c r="A36" t="s">
        <v>131</v>
      </c>
      <c r="C36" s="28">
        <v>-771.7322857</v>
      </c>
      <c r="D36" s="28">
        <v>-802.2121035828313</v>
      </c>
      <c r="E36" s="28">
        <v>-814.6465924086515</v>
      </c>
      <c r="F36" s="28">
        <v>-696.4466711599816</v>
      </c>
      <c r="G36" s="28">
        <v>-721.372776871227</v>
      </c>
      <c r="H36" s="28">
        <v>-792.5305164952006</v>
      </c>
      <c r="I36" s="28">
        <v>-836.6434395175602</v>
      </c>
      <c r="J36" s="28">
        <v>-791.6195899255108</v>
      </c>
      <c r="K36" s="28">
        <v>-801.3497474281612</v>
      </c>
      <c r="L36" s="28">
        <f t="shared" si="5"/>
        <v>-7028.553723089124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</row>
    <row r="37" spans="1:150" ht="12.75">
      <c r="A37" t="s">
        <v>147</v>
      </c>
      <c r="C37" s="28">
        <v>-61.19601910000001</v>
      </c>
      <c r="D37" s="28">
        <v>-59.49228236963427</v>
      </c>
      <c r="E37" s="28">
        <v>-56.33497410429209</v>
      </c>
      <c r="F37" s="28">
        <v>-57.99423199716239</v>
      </c>
      <c r="G37" s="28">
        <v>-59.65973465767911</v>
      </c>
      <c r="H37" s="28">
        <v>-58.4454742816597</v>
      </c>
      <c r="I37" s="28">
        <v>-61.07787513302628</v>
      </c>
      <c r="J37" s="28">
        <v>-58.57441716920857</v>
      </c>
      <c r="K37" s="28">
        <v>-40.16495778644912</v>
      </c>
      <c r="L37" s="28">
        <f t="shared" si="5"/>
        <v>-512.9399665991116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</row>
    <row r="38" spans="1:150" ht="12.75">
      <c r="A38" t="s">
        <v>132</v>
      </c>
      <c r="C38" s="28">
        <v>-166.669619</v>
      </c>
      <c r="D38" s="28">
        <v>-172.73119829726784</v>
      </c>
      <c r="E38" s="28">
        <v>-182.0738332742112</v>
      </c>
      <c r="F38" s="28">
        <v>-178.35391770131173</v>
      </c>
      <c r="G38" s="28">
        <v>-128.09359914863307</v>
      </c>
      <c r="H38" s="28">
        <v>-157.81267967364147</v>
      </c>
      <c r="I38" s="28">
        <v>-166.92761191911814</v>
      </c>
      <c r="J38" s="28">
        <v>-175.02059950336843</v>
      </c>
      <c r="K38" s="28">
        <v>-174.29990705923956</v>
      </c>
      <c r="L38" s="28">
        <f t="shared" si="5"/>
        <v>-1501.9829655767915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</row>
    <row r="39" spans="1:150" ht="12.75">
      <c r="A39" t="s">
        <v>148</v>
      </c>
      <c r="C39" s="28">
        <v>-74.4511302</v>
      </c>
      <c r="D39" s="28">
        <v>-73.9340014189429</v>
      </c>
      <c r="E39" s="28">
        <v>-74.87765519687855</v>
      </c>
      <c r="F39" s="28">
        <v>-73.11015466477511</v>
      </c>
      <c r="G39" s="28">
        <v>-46.93659879389861</v>
      </c>
      <c r="H39" s="28">
        <v>-28.311347995742835</v>
      </c>
      <c r="I39" s="28">
        <v>-30.040570415040747</v>
      </c>
      <c r="J39" s="28">
        <v>-71.38255125931119</v>
      </c>
      <c r="K39" s="28">
        <v>-73.35601347995726</v>
      </c>
      <c r="L39" s="28">
        <f t="shared" si="5"/>
        <v>-546.4000234245472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</row>
    <row r="40" spans="3:150" ht="12.75">
      <c r="C40" s="28">
        <f>SUM(C36:C39)</f>
        <v>-1074.049054</v>
      </c>
      <c r="D40" s="28">
        <f>SUM(D36:D39)</f>
        <v>-1108.3695856686763</v>
      </c>
      <c r="E40" s="28">
        <f aca="true" t="shared" si="7" ref="E40:K40">SUM(E36:E39)</f>
        <v>-1127.9330549840333</v>
      </c>
      <c r="F40" s="28">
        <f t="shared" si="7"/>
        <v>-1005.9049755232309</v>
      </c>
      <c r="G40" s="28">
        <f t="shared" si="7"/>
        <v>-956.0627094714378</v>
      </c>
      <c r="H40" s="28">
        <f t="shared" si="7"/>
        <v>-1037.1000184462446</v>
      </c>
      <c r="I40" s="28">
        <f t="shared" si="7"/>
        <v>-1094.6894969847453</v>
      </c>
      <c r="J40" s="28">
        <f t="shared" si="7"/>
        <v>-1096.597157857399</v>
      </c>
      <c r="K40" s="28">
        <f t="shared" si="7"/>
        <v>-1089.1706257538071</v>
      </c>
      <c r="L40" s="28">
        <f t="shared" si="5"/>
        <v>-9589.876678689576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</row>
    <row r="41" spans="3:150" ht="12.7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</row>
    <row r="42" spans="3:150" ht="12.75">
      <c r="C42" s="28">
        <f>+C29-C40</f>
        <v>236.8790540000001</v>
      </c>
      <c r="D42" s="28">
        <f aca="true" t="shared" si="8" ref="D42:K42">+D29-D40</f>
        <v>-236.8761794962693</v>
      </c>
      <c r="E42" s="28">
        <f t="shared" si="8"/>
        <v>-4.547473508864641E-12</v>
      </c>
      <c r="F42" s="28">
        <f t="shared" si="8"/>
        <v>-1.000444171950221E-11</v>
      </c>
      <c r="G42" s="28">
        <f t="shared" si="8"/>
        <v>-5.9117155615240335E-12</v>
      </c>
      <c r="H42" s="28">
        <f t="shared" si="8"/>
        <v>-1.6370904631912708E-11</v>
      </c>
      <c r="I42" s="28">
        <f t="shared" si="8"/>
        <v>1.0913936421275139E-11</v>
      </c>
      <c r="J42" s="28">
        <f t="shared" si="8"/>
        <v>0.00011564384112716652</v>
      </c>
      <c r="K42" s="28">
        <f t="shared" si="8"/>
        <v>0.00023128769407776417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</row>
    <row r="43" spans="3:150" ht="12.7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</row>
    <row r="44" spans="3:150" ht="12.7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</row>
    <row r="45" spans="3:150" ht="12.7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</row>
    <row r="46" spans="3:150" ht="12.7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</row>
    <row r="47" ht="12.75">
      <c r="C47" s="28"/>
    </row>
    <row r="48" ht="12.75">
      <c r="C48" s="28"/>
    </row>
    <row r="49" ht="12.75">
      <c r="C49" s="28"/>
    </row>
    <row r="50" ht="12.75">
      <c r="C50" s="28"/>
    </row>
    <row r="51" ht="12.75">
      <c r="C51" s="28"/>
    </row>
    <row r="52" ht="12.75">
      <c r="C52" s="28"/>
    </row>
    <row r="53" ht="12.75">
      <c r="C53" s="28"/>
    </row>
    <row r="54" ht="12.75">
      <c r="C54" s="28"/>
    </row>
    <row r="55" ht="12.75">
      <c r="C55" s="28"/>
    </row>
    <row r="56" ht="12.75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  <row r="341" ht="12.75">
      <c r="C341" s="28"/>
    </row>
    <row r="342" ht="12.75">
      <c r="C342" s="28"/>
    </row>
    <row r="343" ht="12.75">
      <c r="C343" s="28"/>
    </row>
    <row r="344" ht="12.75">
      <c r="C344" s="28"/>
    </row>
    <row r="345" ht="12.75">
      <c r="C345" s="28"/>
    </row>
    <row r="346" ht="12.75">
      <c r="C346" s="28"/>
    </row>
    <row r="347" ht="12.75">
      <c r="C347" s="28"/>
    </row>
    <row r="348" ht="12.75">
      <c r="C348" s="28"/>
    </row>
    <row r="349" ht="12.75">
      <c r="C349" s="28"/>
    </row>
    <row r="350" ht="12.75">
      <c r="C350" s="28"/>
    </row>
    <row r="351" ht="12.75">
      <c r="C351" s="28"/>
    </row>
    <row r="352" ht="12.75">
      <c r="C352" s="28"/>
    </row>
    <row r="353" ht="12.75">
      <c r="C353" s="28"/>
    </row>
    <row r="354" ht="12.75">
      <c r="C354" s="28"/>
    </row>
    <row r="355" ht="12.75">
      <c r="C355" s="28"/>
    </row>
    <row r="356" ht="12.75">
      <c r="C356" s="28"/>
    </row>
    <row r="357" ht="12.75">
      <c r="C357" s="28"/>
    </row>
    <row r="358" ht="12.75">
      <c r="C358" s="28"/>
    </row>
    <row r="359" ht="12.75">
      <c r="C359" s="28"/>
    </row>
    <row r="360" ht="12.75">
      <c r="C360" s="28"/>
    </row>
    <row r="361" ht="12.75">
      <c r="C361" s="28"/>
    </row>
    <row r="362" ht="12.75">
      <c r="C362" s="28"/>
    </row>
    <row r="363" ht="12.75">
      <c r="C363" s="28"/>
    </row>
    <row r="364" ht="12.75">
      <c r="C364" s="28"/>
    </row>
    <row r="365" ht="12.75">
      <c r="C365" s="28"/>
    </row>
    <row r="366" ht="12.75">
      <c r="C366" s="28"/>
    </row>
    <row r="367" ht="12.75">
      <c r="C367" s="28"/>
    </row>
    <row r="368" ht="12.75">
      <c r="C368" s="28"/>
    </row>
    <row r="369" ht="12.75">
      <c r="C369" s="28"/>
    </row>
    <row r="370" ht="12.75">
      <c r="C370" s="28"/>
    </row>
    <row r="371" ht="12.75">
      <c r="C371" s="28"/>
    </row>
    <row r="372" ht="12.75">
      <c r="C372" s="28"/>
    </row>
    <row r="373" ht="12.75">
      <c r="C373" s="28"/>
    </row>
    <row r="374" ht="12.75">
      <c r="C374" s="28"/>
    </row>
    <row r="375" ht="12.75">
      <c r="C375" s="28"/>
    </row>
    <row r="376" ht="12.75">
      <c r="C376" s="28"/>
    </row>
    <row r="377" ht="12.75">
      <c r="C377" s="28"/>
    </row>
    <row r="378" ht="12.75">
      <c r="C378" s="28"/>
    </row>
    <row r="379" ht="12.75">
      <c r="C379" s="28"/>
    </row>
    <row r="380" ht="12.75">
      <c r="C380" s="28"/>
    </row>
    <row r="381" ht="12.75">
      <c r="C381" s="28"/>
    </row>
    <row r="382" ht="12.75">
      <c r="C382" s="28"/>
    </row>
    <row r="383" ht="12.75">
      <c r="C383" s="28"/>
    </row>
    <row r="384" ht="12.75">
      <c r="C384" s="28"/>
    </row>
    <row r="385" ht="12.75">
      <c r="C385" s="28"/>
    </row>
    <row r="386" ht="12.75">
      <c r="C386" s="28"/>
    </row>
    <row r="387" ht="12.75">
      <c r="C387" s="28"/>
    </row>
    <row r="388" ht="12.75">
      <c r="C388" s="28"/>
    </row>
    <row r="389" ht="12.75">
      <c r="C389" s="28"/>
    </row>
    <row r="390" ht="12.75">
      <c r="C390" s="28"/>
    </row>
    <row r="391" ht="12.75">
      <c r="C391" s="28"/>
    </row>
    <row r="392" ht="12.75">
      <c r="C392" s="28"/>
    </row>
    <row r="393" ht="12.75">
      <c r="C393" s="28"/>
    </row>
    <row r="394" ht="12.75">
      <c r="C394" s="28"/>
    </row>
    <row r="395" ht="12.75">
      <c r="C395" s="28"/>
    </row>
    <row r="396" ht="12.75">
      <c r="C396" s="28"/>
    </row>
    <row r="397" ht="12.75">
      <c r="C397" s="28"/>
    </row>
    <row r="398" ht="12.75">
      <c r="C398" s="28"/>
    </row>
    <row r="399" ht="12.75">
      <c r="C399" s="28"/>
    </row>
    <row r="400" ht="12.75">
      <c r="C400" s="28"/>
    </row>
    <row r="401" ht="12.75">
      <c r="C401" s="28"/>
    </row>
    <row r="402" ht="12.75">
      <c r="C402" s="28"/>
    </row>
    <row r="403" ht="12.75">
      <c r="C403" s="28"/>
    </row>
    <row r="404" ht="12.75">
      <c r="C404" s="28"/>
    </row>
    <row r="405" ht="12.75">
      <c r="C405" s="28"/>
    </row>
    <row r="406" ht="12.75">
      <c r="C406" s="28"/>
    </row>
    <row r="407" ht="12.75">
      <c r="C407" s="28"/>
    </row>
    <row r="408" ht="12.75">
      <c r="C408" s="28"/>
    </row>
    <row r="409" ht="12.75">
      <c r="C409" s="28"/>
    </row>
    <row r="410" ht="12.75">
      <c r="C410" s="28"/>
    </row>
    <row r="411" ht="12.75">
      <c r="C411" s="28"/>
    </row>
    <row r="412" ht="12.75">
      <c r="C412" s="28"/>
    </row>
    <row r="413" ht="12.75">
      <c r="C413" s="28"/>
    </row>
    <row r="414" ht="12.75">
      <c r="C414" s="28"/>
    </row>
    <row r="415" ht="12.75">
      <c r="C415" s="28"/>
    </row>
    <row r="416" ht="12.75">
      <c r="C416" s="28"/>
    </row>
    <row r="417" ht="12.75">
      <c r="C417" s="28"/>
    </row>
    <row r="418" ht="12.75">
      <c r="C418" s="28"/>
    </row>
    <row r="419" ht="12.75">
      <c r="C419" s="28"/>
    </row>
    <row r="420" ht="12.75">
      <c r="C420" s="28"/>
    </row>
    <row r="421" ht="12.75">
      <c r="C421" s="28"/>
    </row>
    <row r="422" ht="12.75">
      <c r="C422" s="28"/>
    </row>
    <row r="423" ht="12.75">
      <c r="C423" s="28"/>
    </row>
    <row r="424" ht="12.75">
      <c r="C424" s="28"/>
    </row>
    <row r="425" ht="12.75">
      <c r="C425" s="28"/>
    </row>
    <row r="426" ht="12.75">
      <c r="C426" s="28"/>
    </row>
    <row r="427" ht="12.75">
      <c r="C427" s="28"/>
    </row>
    <row r="428" ht="12.75">
      <c r="C428" s="28"/>
    </row>
    <row r="429" ht="12.75">
      <c r="C429" s="28"/>
    </row>
    <row r="430" ht="12.75">
      <c r="C430" s="28"/>
    </row>
    <row r="431" ht="12.75">
      <c r="C431" s="28"/>
    </row>
    <row r="432" ht="12.75">
      <c r="C432" s="28"/>
    </row>
    <row r="433" ht="12.75">
      <c r="C433" s="28"/>
    </row>
    <row r="434" ht="12.75">
      <c r="C434" s="28"/>
    </row>
    <row r="435" ht="12.75">
      <c r="C435" s="28"/>
    </row>
    <row r="436" ht="12.75">
      <c r="C436" s="28"/>
    </row>
    <row r="437" ht="12.75">
      <c r="C437" s="28"/>
    </row>
    <row r="438" ht="12.75">
      <c r="C438" s="28"/>
    </row>
    <row r="439" ht="12.75">
      <c r="C439" s="28"/>
    </row>
    <row r="440" ht="12.75">
      <c r="C440" s="28"/>
    </row>
    <row r="441" ht="12.75">
      <c r="C441" s="28"/>
    </row>
    <row r="442" ht="12.75">
      <c r="C442" s="28"/>
    </row>
    <row r="443" ht="12.75">
      <c r="C443" s="28"/>
    </row>
    <row r="444" ht="12.75">
      <c r="C444" s="28"/>
    </row>
    <row r="445" ht="12.75">
      <c r="C445" s="28"/>
    </row>
    <row r="446" ht="12.75">
      <c r="C446" s="28"/>
    </row>
    <row r="447" ht="12.75">
      <c r="C447" s="28"/>
    </row>
    <row r="448" ht="12.75">
      <c r="C448" s="28"/>
    </row>
    <row r="449" ht="12.75">
      <c r="C449" s="28"/>
    </row>
    <row r="450" ht="12.75">
      <c r="C450" s="28"/>
    </row>
    <row r="451" ht="12.75">
      <c r="C451" s="28"/>
    </row>
    <row r="452" ht="12.75">
      <c r="C452" s="28"/>
    </row>
    <row r="453" ht="12.75">
      <c r="C453" s="28"/>
    </row>
    <row r="454" ht="12.75">
      <c r="C454" s="28"/>
    </row>
    <row r="455" ht="12.75">
      <c r="C455" s="28"/>
    </row>
    <row r="456" ht="12.75">
      <c r="C456" s="28"/>
    </row>
    <row r="457" ht="12.75">
      <c r="C457" s="28"/>
    </row>
    <row r="458" ht="12.75">
      <c r="C458" s="28"/>
    </row>
    <row r="459" ht="12.75">
      <c r="C459" s="28"/>
    </row>
    <row r="460" ht="12.75">
      <c r="C460" s="28"/>
    </row>
    <row r="461" ht="12.75">
      <c r="C461" s="28"/>
    </row>
    <row r="462" ht="12.75">
      <c r="C462" s="28"/>
    </row>
    <row r="463" ht="12.75">
      <c r="C463" s="28"/>
    </row>
    <row r="464" ht="12.75">
      <c r="C464" s="28"/>
    </row>
    <row r="465" ht="12.75">
      <c r="C465" s="28"/>
    </row>
    <row r="466" ht="12.75">
      <c r="C466" s="28"/>
    </row>
    <row r="467" ht="12.75">
      <c r="C467" s="28"/>
    </row>
    <row r="468" ht="12.75">
      <c r="C468" s="28"/>
    </row>
    <row r="469" ht="12.75">
      <c r="C469" s="28"/>
    </row>
    <row r="470" ht="12.75">
      <c r="C470" s="28"/>
    </row>
    <row r="471" ht="12.75">
      <c r="C471" s="28"/>
    </row>
    <row r="472" ht="12.75">
      <c r="C472" s="28"/>
    </row>
    <row r="473" ht="12.75">
      <c r="C473" s="28"/>
    </row>
    <row r="474" ht="12.75">
      <c r="C474" s="28"/>
    </row>
    <row r="475" ht="12.75">
      <c r="C475" s="28"/>
    </row>
    <row r="476" ht="12.75">
      <c r="C476" s="28"/>
    </row>
    <row r="477" ht="12.75">
      <c r="C477" s="28"/>
    </row>
    <row r="478" ht="12.75">
      <c r="C478" s="28"/>
    </row>
    <row r="479" ht="12.75">
      <c r="C479" s="28"/>
    </row>
    <row r="480" ht="12.75">
      <c r="C480" s="28"/>
    </row>
    <row r="481" ht="12.75">
      <c r="C481" s="28"/>
    </row>
    <row r="482" ht="12.75">
      <c r="C482" s="28"/>
    </row>
    <row r="483" ht="12.75">
      <c r="C483" s="28"/>
    </row>
    <row r="484" ht="12.75">
      <c r="C484" s="28"/>
    </row>
    <row r="485" ht="12.75">
      <c r="C485" s="28"/>
    </row>
    <row r="486" ht="12.75">
      <c r="C486" s="28"/>
    </row>
    <row r="487" ht="12.75">
      <c r="C487" s="28"/>
    </row>
    <row r="488" ht="12.75">
      <c r="C488" s="28"/>
    </row>
    <row r="489" ht="12.75">
      <c r="C489" s="28"/>
    </row>
    <row r="490" ht="12.75">
      <c r="C490" s="28"/>
    </row>
    <row r="491" ht="12.75">
      <c r="C491" s="28"/>
    </row>
    <row r="492" ht="12.75">
      <c r="C492" s="28"/>
    </row>
    <row r="493" ht="12.75">
      <c r="C493" s="28"/>
    </row>
    <row r="494" ht="12.75">
      <c r="C494" s="28"/>
    </row>
    <row r="495" ht="12.75">
      <c r="C495" s="28"/>
    </row>
    <row r="496" ht="12.75">
      <c r="C496" s="28"/>
    </row>
    <row r="497" ht="12.75">
      <c r="C497" s="28"/>
    </row>
    <row r="498" ht="12.75">
      <c r="C498" s="28"/>
    </row>
    <row r="499" ht="12.75">
      <c r="C499" s="28"/>
    </row>
    <row r="500" ht="12.75">
      <c r="C500" s="28"/>
    </row>
    <row r="501" ht="12.75">
      <c r="C501" s="28"/>
    </row>
    <row r="502" ht="12.75">
      <c r="C502" s="28"/>
    </row>
    <row r="503" ht="12.75">
      <c r="C503" s="28"/>
    </row>
    <row r="504" ht="12.75">
      <c r="C504" s="28"/>
    </row>
    <row r="505" ht="12.75">
      <c r="C505" s="28"/>
    </row>
    <row r="506" ht="12.75">
      <c r="C506" s="28"/>
    </row>
    <row r="507" ht="12.75">
      <c r="C507" s="28"/>
    </row>
    <row r="508" ht="12.75">
      <c r="C508" s="28"/>
    </row>
    <row r="509" ht="12.75">
      <c r="C509" s="28"/>
    </row>
    <row r="510" ht="12.75">
      <c r="C510" s="28"/>
    </row>
    <row r="511" ht="12.75">
      <c r="C511" s="28"/>
    </row>
    <row r="512" ht="12.75">
      <c r="C512" s="28"/>
    </row>
    <row r="513" ht="12.75">
      <c r="C513" s="28"/>
    </row>
    <row r="514" ht="12.75">
      <c r="C514" s="28"/>
    </row>
    <row r="515" ht="12.75">
      <c r="C515" s="28"/>
    </row>
    <row r="516" ht="12.75">
      <c r="C516" s="28"/>
    </row>
    <row r="517" ht="12.75">
      <c r="C517" s="28"/>
    </row>
    <row r="518" ht="12.75">
      <c r="C518" s="28"/>
    </row>
    <row r="519" ht="12.75">
      <c r="C519" s="28"/>
    </row>
    <row r="520" ht="12.75">
      <c r="C520" s="28"/>
    </row>
    <row r="521" ht="12.75">
      <c r="C521" s="28"/>
    </row>
    <row r="522" ht="12.75">
      <c r="C522" s="28"/>
    </row>
    <row r="523" ht="12.75">
      <c r="C523" s="28"/>
    </row>
    <row r="524" ht="12.75">
      <c r="C524" s="28"/>
    </row>
    <row r="525" ht="12.75">
      <c r="C525" s="28"/>
    </row>
    <row r="526" ht="12.75">
      <c r="C526" s="28"/>
    </row>
    <row r="527" ht="12.75">
      <c r="C527" s="28"/>
    </row>
    <row r="528" ht="12.75">
      <c r="C528" s="28"/>
    </row>
    <row r="529" ht="12.75">
      <c r="C529" s="28"/>
    </row>
    <row r="530" ht="12.75">
      <c r="C530" s="28"/>
    </row>
    <row r="531" ht="12.75">
      <c r="C531" s="28"/>
    </row>
    <row r="532" ht="12.75">
      <c r="C532" s="28"/>
    </row>
    <row r="533" ht="12.75">
      <c r="C533" s="28"/>
    </row>
    <row r="534" ht="12.75">
      <c r="C534" s="28"/>
    </row>
    <row r="535" ht="12.75">
      <c r="C535" s="28"/>
    </row>
    <row r="536" ht="12.75">
      <c r="C536" s="28"/>
    </row>
    <row r="537" ht="12.75">
      <c r="C537" s="28"/>
    </row>
    <row r="538" ht="12.75">
      <c r="C538" s="28"/>
    </row>
    <row r="539" ht="12.75">
      <c r="C539" s="28"/>
    </row>
    <row r="540" ht="12.75">
      <c r="C540" s="28"/>
    </row>
    <row r="541" ht="12.75">
      <c r="C541" s="28"/>
    </row>
    <row r="542" ht="12.75">
      <c r="C542" s="28"/>
    </row>
    <row r="543" ht="12.75">
      <c r="C543" s="28"/>
    </row>
    <row r="544" ht="12.75">
      <c r="C544" s="28"/>
    </row>
    <row r="545" ht="12.75">
      <c r="C545" s="28"/>
    </row>
    <row r="546" ht="12.75">
      <c r="C546" s="28"/>
    </row>
    <row r="547" ht="12.75">
      <c r="C547" s="28"/>
    </row>
    <row r="548" ht="12.75">
      <c r="C548" s="28"/>
    </row>
    <row r="549" ht="12.75">
      <c r="C549" s="28"/>
    </row>
    <row r="550" ht="12.75">
      <c r="C550" s="28"/>
    </row>
    <row r="551" ht="12.75">
      <c r="C551" s="28"/>
    </row>
    <row r="552" ht="12.75">
      <c r="C552" s="28"/>
    </row>
    <row r="553" ht="12.75">
      <c r="C553" s="28"/>
    </row>
    <row r="554" ht="12.75">
      <c r="C554" s="28"/>
    </row>
    <row r="555" ht="12.75">
      <c r="C555" s="28"/>
    </row>
    <row r="556" ht="12.75">
      <c r="C556" s="28"/>
    </row>
    <row r="557" ht="12.75">
      <c r="C557" s="28"/>
    </row>
    <row r="558" ht="12.75">
      <c r="C558" s="28"/>
    </row>
    <row r="559" ht="12.75">
      <c r="C559" s="28"/>
    </row>
    <row r="560" ht="12.75">
      <c r="C560" s="28"/>
    </row>
    <row r="561" ht="12.75">
      <c r="C561" s="28"/>
    </row>
    <row r="562" ht="12.75">
      <c r="C562" s="28"/>
    </row>
    <row r="563" ht="12.75">
      <c r="C563" s="28"/>
    </row>
    <row r="564" ht="12.75">
      <c r="C564" s="28"/>
    </row>
    <row r="565" ht="12.75">
      <c r="C565" s="28"/>
    </row>
    <row r="566" ht="12.75">
      <c r="C566" s="28"/>
    </row>
    <row r="567" ht="12.75">
      <c r="C567" s="28"/>
    </row>
    <row r="568" ht="12.75">
      <c r="C568" s="28"/>
    </row>
    <row r="569" ht="12.75">
      <c r="C569" s="28"/>
    </row>
    <row r="570" ht="12.75">
      <c r="C570" s="28"/>
    </row>
    <row r="571" ht="12.75">
      <c r="C571" s="28"/>
    </row>
    <row r="572" ht="12.75">
      <c r="C572" s="28"/>
    </row>
    <row r="573" ht="12.75">
      <c r="C573" s="28"/>
    </row>
    <row r="574" ht="12.75">
      <c r="C574" s="28"/>
    </row>
    <row r="575" ht="12.75">
      <c r="C575" s="28"/>
    </row>
    <row r="576" ht="12.75">
      <c r="C576" s="28"/>
    </row>
    <row r="577" ht="12.75">
      <c r="C577" s="28"/>
    </row>
    <row r="578" ht="12.75">
      <c r="C578" s="28"/>
    </row>
    <row r="579" ht="12.75">
      <c r="C579" s="28"/>
    </row>
    <row r="580" ht="12.75">
      <c r="C580" s="28"/>
    </row>
    <row r="581" ht="12.75">
      <c r="C581" s="28"/>
    </row>
    <row r="582" ht="12.75">
      <c r="C582" s="28"/>
    </row>
    <row r="583" ht="12.75">
      <c r="C583" s="28"/>
    </row>
    <row r="584" ht="12.75">
      <c r="C584" s="28"/>
    </row>
    <row r="585" ht="12.75">
      <c r="C585" s="28"/>
    </row>
    <row r="586" ht="12.75">
      <c r="C586" s="28"/>
    </row>
    <row r="587" ht="12.75">
      <c r="C587" s="28"/>
    </row>
    <row r="588" ht="12.75">
      <c r="C588" s="28"/>
    </row>
    <row r="589" ht="12.75">
      <c r="C589" s="28"/>
    </row>
    <row r="590" ht="12.75">
      <c r="C590" s="28"/>
    </row>
    <row r="591" ht="12.75">
      <c r="C591" s="28"/>
    </row>
    <row r="592" ht="12.75">
      <c r="C592" s="28"/>
    </row>
    <row r="593" ht="12.75">
      <c r="C593" s="28"/>
    </row>
    <row r="594" ht="12.75">
      <c r="C594" s="28"/>
    </row>
    <row r="595" ht="12.75">
      <c r="C595" s="28"/>
    </row>
    <row r="596" ht="12.75">
      <c r="C596" s="28"/>
    </row>
    <row r="597" ht="12.75">
      <c r="C597" s="28"/>
    </row>
    <row r="598" ht="12.75">
      <c r="C598" s="28"/>
    </row>
    <row r="599" ht="12.75">
      <c r="C599" s="28"/>
    </row>
    <row r="600" ht="12.75">
      <c r="C600" s="28"/>
    </row>
    <row r="601" ht="12.75">
      <c r="C601" s="28"/>
    </row>
    <row r="602" ht="12.75">
      <c r="C602" s="28"/>
    </row>
    <row r="603" ht="12.75">
      <c r="C603" s="28"/>
    </row>
    <row r="604" ht="12.75">
      <c r="C604" s="28"/>
    </row>
    <row r="605" ht="12.75">
      <c r="C605" s="28"/>
    </row>
    <row r="606" ht="12.75">
      <c r="C606" s="28"/>
    </row>
    <row r="607" ht="12.75">
      <c r="C607" s="28"/>
    </row>
    <row r="608" ht="12.75">
      <c r="C608" s="28"/>
    </row>
    <row r="609" ht="12.75">
      <c r="C609" s="28"/>
    </row>
    <row r="610" ht="12.75">
      <c r="C610" s="28"/>
    </row>
    <row r="611" ht="12.75">
      <c r="C611" s="28"/>
    </row>
    <row r="612" ht="12.75">
      <c r="C612" s="28"/>
    </row>
    <row r="613" ht="12.75">
      <c r="C613" s="28"/>
    </row>
    <row r="614" ht="12.75">
      <c r="C614" s="28"/>
    </row>
    <row r="615" ht="12.75">
      <c r="C615" s="28"/>
    </row>
    <row r="616" ht="12.75">
      <c r="C616" s="28"/>
    </row>
    <row r="617" ht="12.75">
      <c r="C617" s="28"/>
    </row>
    <row r="618" ht="12.75">
      <c r="C618" s="28"/>
    </row>
    <row r="619" ht="12.75">
      <c r="C619" s="28"/>
    </row>
    <row r="620" ht="12.75">
      <c r="C620" s="28"/>
    </row>
    <row r="621" ht="12.75">
      <c r="C621" s="28"/>
    </row>
    <row r="622" ht="12.75">
      <c r="C622" s="28"/>
    </row>
    <row r="623" ht="12.75">
      <c r="C623" s="28"/>
    </row>
    <row r="624" ht="12.75">
      <c r="C624" s="28"/>
    </row>
    <row r="625" ht="12.75">
      <c r="C625" s="28"/>
    </row>
    <row r="626" ht="12.75">
      <c r="C626" s="28"/>
    </row>
    <row r="627" ht="12.75">
      <c r="C627" s="28"/>
    </row>
    <row r="628" ht="12.75">
      <c r="C628" s="28"/>
    </row>
    <row r="629" ht="12.75">
      <c r="C629" s="28"/>
    </row>
    <row r="630" ht="12.75">
      <c r="C630" s="28"/>
    </row>
    <row r="631" ht="12.75">
      <c r="C631" s="28"/>
    </row>
    <row r="632" ht="12.75">
      <c r="C632" s="28"/>
    </row>
    <row r="633" ht="12.75">
      <c r="C633" s="28"/>
    </row>
    <row r="634" ht="12.75">
      <c r="C634" s="28"/>
    </row>
    <row r="635" ht="12.75">
      <c r="C635" s="28"/>
    </row>
    <row r="636" ht="12.75">
      <c r="C636" s="28"/>
    </row>
    <row r="637" ht="12.75">
      <c r="C637" s="28"/>
    </row>
    <row r="638" ht="12.75">
      <c r="C638" s="28"/>
    </row>
    <row r="639" ht="12.75">
      <c r="C639" s="28"/>
    </row>
    <row r="640" ht="12.75">
      <c r="C640" s="28"/>
    </row>
    <row r="641" ht="12.75">
      <c r="C641" s="28"/>
    </row>
    <row r="642" ht="12.75">
      <c r="C642" s="28"/>
    </row>
    <row r="643" ht="12.75">
      <c r="C643" s="28"/>
    </row>
    <row r="644" ht="12.75">
      <c r="C644" s="28"/>
    </row>
    <row r="645" ht="12.75">
      <c r="C645" s="28"/>
    </row>
    <row r="646" ht="12.75">
      <c r="C646" s="28"/>
    </row>
    <row r="647" ht="12.75">
      <c r="C647" s="28"/>
    </row>
    <row r="648" ht="12.75">
      <c r="C648" s="28"/>
    </row>
    <row r="649" ht="12.75">
      <c r="C649" s="28"/>
    </row>
    <row r="650" ht="12.75">
      <c r="C650" s="28"/>
    </row>
    <row r="651" ht="12.75">
      <c r="C651" s="28"/>
    </row>
    <row r="652" ht="12.75">
      <c r="C652" s="28"/>
    </row>
    <row r="653" ht="12.75">
      <c r="C653" s="28"/>
    </row>
    <row r="654" ht="12.75">
      <c r="C654" s="28"/>
    </row>
    <row r="655" ht="12.75">
      <c r="C655" s="28"/>
    </row>
    <row r="656" ht="12.75">
      <c r="C656" s="28"/>
    </row>
    <row r="657" ht="12.75">
      <c r="C657" s="28"/>
    </row>
    <row r="658" ht="12.75">
      <c r="C658" s="28"/>
    </row>
    <row r="659" ht="12.75">
      <c r="C659" s="28"/>
    </row>
    <row r="660" ht="12.75">
      <c r="C660" s="28"/>
    </row>
    <row r="661" ht="12.75">
      <c r="C661" s="28"/>
    </row>
    <row r="662" ht="12.75">
      <c r="C662" s="28"/>
    </row>
    <row r="663" ht="12.75">
      <c r="C663" s="28"/>
    </row>
    <row r="664" ht="12.75">
      <c r="C664" s="28"/>
    </row>
    <row r="665" ht="12.75">
      <c r="C665" s="28"/>
    </row>
    <row r="666" ht="12.75">
      <c r="C666" s="28"/>
    </row>
    <row r="667" ht="12.75">
      <c r="C667" s="28"/>
    </row>
    <row r="668" ht="12.75">
      <c r="C668" s="28"/>
    </row>
    <row r="669" ht="12.75">
      <c r="C669" s="28"/>
    </row>
    <row r="670" ht="12.75">
      <c r="C670" s="28"/>
    </row>
    <row r="671" ht="12.75">
      <c r="C671" s="28"/>
    </row>
    <row r="672" ht="12.75">
      <c r="C672" s="28"/>
    </row>
    <row r="673" ht="12.75">
      <c r="C673" s="28"/>
    </row>
    <row r="674" ht="12.75">
      <c r="C674" s="28"/>
    </row>
    <row r="675" ht="12.75">
      <c r="C675" s="28"/>
    </row>
    <row r="676" ht="12.75">
      <c r="C676" s="28"/>
    </row>
    <row r="677" ht="12.75">
      <c r="C677" s="28"/>
    </row>
    <row r="678" ht="12.75">
      <c r="C678" s="28"/>
    </row>
    <row r="679" ht="12.75">
      <c r="C679" s="28"/>
    </row>
    <row r="680" ht="12.75">
      <c r="C680" s="28"/>
    </row>
    <row r="681" ht="12.75">
      <c r="C681" s="28"/>
    </row>
    <row r="682" ht="12.75">
      <c r="C682" s="28"/>
    </row>
    <row r="683" ht="12.75">
      <c r="C683" s="2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"/>
  <sheetViews>
    <sheetView zoomScalePageLayoutView="0" workbookViewId="0" topLeftCell="A1">
      <selection activeCell="E4" sqref="E4"/>
    </sheetView>
  </sheetViews>
  <sheetFormatPr defaultColWidth="9.140625" defaultRowHeight="12.75"/>
  <cols>
    <col min="3" max="15" width="8.00390625" style="0" customWidth="1"/>
  </cols>
  <sheetData>
    <row r="2" spans="1:15" ht="12.75">
      <c r="A2" t="s">
        <v>93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</row>
    <row r="3" spans="2:15" ht="12.75">
      <c r="B3">
        <v>1998</v>
      </c>
      <c r="C3" s="16">
        <v>0.9486028319966824</v>
      </c>
      <c r="D3" s="16">
        <v>0.9701022698771293</v>
      </c>
      <c r="E3" s="16">
        <v>0.87818890676153</v>
      </c>
      <c r="F3" s="16">
        <v>0.9806904235114241</v>
      </c>
      <c r="G3" s="16">
        <v>0.9242424964559962</v>
      </c>
      <c r="H3" s="16">
        <v>0.9184551129525519</v>
      </c>
      <c r="I3" s="16">
        <v>0.9439916902251854</v>
      </c>
      <c r="J3" s="16">
        <v>0.9456402320866525</v>
      </c>
      <c r="K3" s="16">
        <v>0.9419392560575074</v>
      </c>
      <c r="L3" s="16">
        <v>0.8781079167641005</v>
      </c>
      <c r="M3" s="16">
        <v>0.8899368242456953</v>
      </c>
      <c r="N3" s="16">
        <v>0.8684448892083</v>
      </c>
      <c r="O3" s="16">
        <v>0.9229039990527959</v>
      </c>
    </row>
    <row r="4" spans="2:15" ht="12.75">
      <c r="B4">
        <v>1999</v>
      </c>
      <c r="C4" s="16">
        <v>0.9227130263787107</v>
      </c>
      <c r="D4" s="16">
        <v>0.9669229425432568</v>
      </c>
      <c r="E4" s="16">
        <v>0.9110099817503515</v>
      </c>
      <c r="F4" s="16">
        <v>0.9524662672490857</v>
      </c>
      <c r="G4" s="16">
        <v>0.9138190467689815</v>
      </c>
      <c r="H4" s="16">
        <v>0.8986353504802573</v>
      </c>
      <c r="I4" s="16">
        <v>0.903536586033412</v>
      </c>
      <c r="J4" s="16">
        <v>0.9048745642585176</v>
      </c>
      <c r="K4" s="16">
        <v>0.9443930220972407</v>
      </c>
      <c r="L4" s="16">
        <v>0.9305794878019337</v>
      </c>
      <c r="M4" s="16">
        <v>0.9015970053337043</v>
      </c>
      <c r="N4" s="16">
        <v>0.8693554185847154</v>
      </c>
      <c r="O4" s="16">
        <v>0.9175122463832259</v>
      </c>
    </row>
    <row r="5" spans="2:15" ht="12.75">
      <c r="B5">
        <v>2000</v>
      </c>
      <c r="C5" s="16">
        <v>0.926537511191193</v>
      </c>
      <c r="D5" s="16">
        <v>0.9478751431187622</v>
      </c>
      <c r="E5" s="16">
        <v>0.8978760028862995</v>
      </c>
      <c r="F5" s="16">
        <v>0.9919149646775745</v>
      </c>
      <c r="G5" s="16">
        <v>0.8952366861050598</v>
      </c>
      <c r="H5" s="16">
        <v>0.9637233387375752</v>
      </c>
      <c r="I5" s="16">
        <v>0.94522804602366</v>
      </c>
      <c r="J5" s="16">
        <v>0.8906362838828286</v>
      </c>
      <c r="K5" s="16">
        <v>0.9363364083362006</v>
      </c>
      <c r="L5" s="16">
        <v>0.9300320740868503</v>
      </c>
      <c r="M5" s="16">
        <v>0.8909522283461133</v>
      </c>
      <c r="N5" s="16">
        <v>0.8754733012433701</v>
      </c>
      <c r="O5" s="16">
        <v>0.923328045933421</v>
      </c>
    </row>
    <row r="6" spans="2:15" ht="12.75">
      <c r="B6">
        <v>2001</v>
      </c>
      <c r="C6" s="16">
        <v>0.9297988690014207</v>
      </c>
      <c r="D6" s="16">
        <v>1.0065786746163143</v>
      </c>
      <c r="E6" s="16">
        <v>0.8921644520548928</v>
      </c>
      <c r="F6" s="16">
        <v>0.9720729855490435</v>
      </c>
      <c r="G6" s="16">
        <v>0.913412799663874</v>
      </c>
      <c r="H6" s="16">
        <v>0.9477984128206925</v>
      </c>
      <c r="I6" s="16">
        <v>0.8973898970474364</v>
      </c>
      <c r="J6" s="16">
        <v>0.9076354558042026</v>
      </c>
      <c r="K6" s="16">
        <v>0.9817491588531777</v>
      </c>
      <c r="L6" s="16">
        <v>0.9028293444815468</v>
      </c>
      <c r="M6" s="16">
        <v>0.8825828010057546</v>
      </c>
      <c r="N6" s="16" t="e">
        <v>#DIV/0!</v>
      </c>
      <c r="O6" s="16" t="e"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6.8515625" style="0" bestFit="1" customWidth="1"/>
    <col min="2" max="2" width="16.8515625" style="19" customWidth="1"/>
    <col min="3" max="3" width="11.28125" style="0" bestFit="1" customWidth="1"/>
    <col min="4" max="6" width="10.57421875" style="22" bestFit="1" customWidth="1"/>
    <col min="7" max="7" width="10.28125" style="0" bestFit="1" customWidth="1"/>
    <col min="10" max="11" width="10.28125" style="0" bestFit="1" customWidth="1"/>
  </cols>
  <sheetData>
    <row r="3" spans="2:9" ht="25.5">
      <c r="B3" s="19" t="s">
        <v>135</v>
      </c>
      <c r="D3" s="183" t="s">
        <v>137</v>
      </c>
      <c r="E3" s="183"/>
      <c r="F3" s="183"/>
      <c r="G3" s="183" t="s">
        <v>138</v>
      </c>
      <c r="H3" s="183"/>
      <c r="I3" s="183"/>
    </row>
    <row r="4" spans="3:11" ht="12.75">
      <c r="C4" t="s">
        <v>136</v>
      </c>
      <c r="D4" s="22" t="s">
        <v>97</v>
      </c>
      <c r="E4" s="22" t="s">
        <v>98</v>
      </c>
      <c r="F4" s="22" t="s">
        <v>99</v>
      </c>
      <c r="G4" s="22" t="s">
        <v>97</v>
      </c>
      <c r="H4" s="22" t="s">
        <v>98</v>
      </c>
      <c r="I4" s="22" t="s">
        <v>99</v>
      </c>
      <c r="J4" s="22" t="s">
        <v>139</v>
      </c>
      <c r="K4" s="22" t="s">
        <v>140</v>
      </c>
    </row>
    <row r="5" spans="1:11" ht="12.75">
      <c r="A5" t="s">
        <v>129</v>
      </c>
      <c r="B5" s="26">
        <v>-317151.4531918706</v>
      </c>
      <c r="C5" s="21">
        <v>-0.08</v>
      </c>
      <c r="D5" s="25">
        <v>3985531.1065147896</v>
      </c>
      <c r="E5" s="25">
        <v>3737039.0449681976</v>
      </c>
      <c r="F5" s="25">
        <v>3499888.435072484</v>
      </c>
      <c r="G5" s="24">
        <f aca="true" t="shared" si="0" ref="G5:I10">$C5*D5</f>
        <v>-318842.4885211832</v>
      </c>
      <c r="H5" s="24">
        <f t="shared" si="0"/>
        <v>-298963.1235974558</v>
      </c>
      <c r="I5" s="24">
        <f t="shared" si="0"/>
        <v>-279991.0748057987</v>
      </c>
      <c r="J5" s="24">
        <f aca="true" t="shared" si="1" ref="J5:J10">SUM(G5:I5)</f>
        <v>-897796.6869244378</v>
      </c>
      <c r="K5" s="24">
        <f aca="true" t="shared" si="2" ref="K5:K10">B5+J5</f>
        <v>-1214948.1401163084</v>
      </c>
    </row>
    <row r="6" spans="1:11" ht="12.75">
      <c r="A6" t="s">
        <v>112</v>
      </c>
      <c r="B6" s="26">
        <v>1572.2500000001164</v>
      </c>
      <c r="C6" s="21">
        <v>-0.0679</v>
      </c>
      <c r="D6" s="25">
        <v>2715555.42099759</v>
      </c>
      <c r="E6" s="25">
        <v>2646701.3955524657</v>
      </c>
      <c r="F6" s="25">
        <v>2557377.908657162</v>
      </c>
      <c r="G6" s="24">
        <f t="shared" si="0"/>
        <v>-184386.21308573635</v>
      </c>
      <c r="H6" s="24">
        <f t="shared" si="0"/>
        <v>-179711.0247580124</v>
      </c>
      <c r="I6" s="24">
        <f t="shared" si="0"/>
        <v>-173645.9599978213</v>
      </c>
      <c r="J6" s="24">
        <f t="shared" si="1"/>
        <v>-537743.19784157</v>
      </c>
      <c r="K6" s="24">
        <f t="shared" si="2"/>
        <v>-536170.9478415699</v>
      </c>
    </row>
    <row r="7" spans="1:11" ht="12.75">
      <c r="A7" t="s">
        <v>113</v>
      </c>
      <c r="B7" s="26">
        <v>-498.1300000000019</v>
      </c>
      <c r="C7" s="21">
        <v>-0.0679</v>
      </c>
      <c r="D7" s="25">
        <v>46277.17819237914</v>
      </c>
      <c r="E7" s="25">
        <v>45071.47175042593</v>
      </c>
      <c r="F7" s="25">
        <v>41601.47857986344</v>
      </c>
      <c r="G7" s="24">
        <f t="shared" si="0"/>
        <v>-3142.2203992625437</v>
      </c>
      <c r="H7" s="24">
        <f t="shared" si="0"/>
        <v>-3060.352931853921</v>
      </c>
      <c r="I7" s="24">
        <f t="shared" si="0"/>
        <v>-2824.7403955727277</v>
      </c>
      <c r="J7" s="24">
        <f t="shared" si="1"/>
        <v>-9027.313726689192</v>
      </c>
      <c r="K7" s="24">
        <f t="shared" si="2"/>
        <v>-9525.443726689195</v>
      </c>
    </row>
    <row r="8" spans="1:11" ht="12.75">
      <c r="A8" t="s">
        <v>115</v>
      </c>
      <c r="B8" s="26">
        <v>12299.04</v>
      </c>
      <c r="C8" s="21">
        <v>-0.0632</v>
      </c>
      <c r="D8" s="25">
        <v>351282.37618700333</v>
      </c>
      <c r="E8" s="25">
        <v>338370.888564583</v>
      </c>
      <c r="F8" s="25">
        <v>331195.7931036534</v>
      </c>
      <c r="G8" s="24">
        <f t="shared" si="0"/>
        <v>-22201.04617501861</v>
      </c>
      <c r="H8" s="24">
        <f t="shared" si="0"/>
        <v>-21385.040157281644</v>
      </c>
      <c r="I8" s="24">
        <f t="shared" si="0"/>
        <v>-20931.5741241509</v>
      </c>
      <c r="J8" s="24">
        <f t="shared" si="1"/>
        <v>-64517.66045645115</v>
      </c>
      <c r="K8" s="24">
        <f t="shared" si="2"/>
        <v>-52218.62045645115</v>
      </c>
    </row>
    <row r="9" spans="1:11" ht="12.75">
      <c r="A9" t="s">
        <v>117</v>
      </c>
      <c r="B9" s="26">
        <v>21926.051072000002</v>
      </c>
      <c r="C9" s="21">
        <v>-0.521</v>
      </c>
      <c r="D9" s="25">
        <v>105543.27940484505</v>
      </c>
      <c r="E9" s="25">
        <v>107539.22323119869</v>
      </c>
      <c r="F9" s="25">
        <v>113963.96593353292</v>
      </c>
      <c r="G9" s="24">
        <f t="shared" si="0"/>
        <v>-54988.04856992427</v>
      </c>
      <c r="H9" s="24">
        <f t="shared" si="0"/>
        <v>-56027.93530345452</v>
      </c>
      <c r="I9" s="24">
        <f t="shared" si="0"/>
        <v>-59375.22625137065</v>
      </c>
      <c r="J9" s="24">
        <f t="shared" si="1"/>
        <v>-170391.21012474946</v>
      </c>
      <c r="K9" s="24">
        <f t="shared" si="2"/>
        <v>-148465.15905274946</v>
      </c>
    </row>
    <row r="10" spans="1:11" ht="12.75">
      <c r="A10" t="s">
        <v>118</v>
      </c>
      <c r="B10" s="26">
        <v>-20.90999999999974</v>
      </c>
      <c r="C10" s="21">
        <v>-0.0513</v>
      </c>
      <c r="D10" s="25">
        <v>12756.371298497856</v>
      </c>
      <c r="E10" s="25">
        <v>10545.991046803087</v>
      </c>
      <c r="F10" s="25">
        <v>10755.822481934018</v>
      </c>
      <c r="G10" s="24">
        <f t="shared" si="0"/>
        <v>-654.40184761294</v>
      </c>
      <c r="H10" s="24">
        <f t="shared" si="0"/>
        <v>-541.0093407009983</v>
      </c>
      <c r="I10" s="24">
        <f t="shared" si="0"/>
        <v>-551.7736933232151</v>
      </c>
      <c r="J10" s="24">
        <f t="shared" si="1"/>
        <v>-1747.1848816371535</v>
      </c>
      <c r="K10" s="24">
        <f t="shared" si="2"/>
        <v>-1768.0948816371533</v>
      </c>
    </row>
    <row r="11" spans="1:11" ht="12.75">
      <c r="A11" t="s">
        <v>141</v>
      </c>
      <c r="B11" s="26">
        <f>SUM(B5:B10)</f>
        <v>-281873.1521198705</v>
      </c>
      <c r="D11" s="20"/>
      <c r="E11" s="20"/>
      <c r="F11" s="20"/>
      <c r="G11" s="25">
        <f>SUM(G5:G10)</f>
        <v>-584214.4185987379</v>
      </c>
      <c r="H11" s="25">
        <f>SUM(H5:H10)</f>
        <v>-559688.4860887593</v>
      </c>
      <c r="I11" s="25">
        <f>SUM(I5:I10)</f>
        <v>-537320.3492680376</v>
      </c>
      <c r="J11" s="25">
        <f>SUM(J5:J10)</f>
        <v>-1681223.2539555347</v>
      </c>
      <c r="K11" s="25">
        <f>SUM(K5:K10)</f>
        <v>-1963096.406075405</v>
      </c>
    </row>
    <row r="12" spans="4:7" ht="12.75">
      <c r="D12" s="20"/>
      <c r="E12" s="20"/>
      <c r="F12" s="20"/>
      <c r="G12" s="20"/>
    </row>
    <row r="14" spans="2:9" ht="25.5">
      <c r="B14" s="19" t="s">
        <v>135</v>
      </c>
      <c r="D14" s="183" t="s">
        <v>137</v>
      </c>
      <c r="E14" s="183"/>
      <c r="F14" s="183"/>
      <c r="G14" s="183" t="s">
        <v>138</v>
      </c>
      <c r="H14" s="183"/>
      <c r="I14" s="183"/>
    </row>
    <row r="15" spans="1:11" ht="12.75">
      <c r="A15" t="s">
        <v>130</v>
      </c>
      <c r="C15" t="s">
        <v>136</v>
      </c>
      <c r="D15" s="22" t="s">
        <v>97</v>
      </c>
      <c r="E15" s="22" t="s">
        <v>98</v>
      </c>
      <c r="F15" s="22" t="s">
        <v>99</v>
      </c>
      <c r="G15" s="22" t="s">
        <v>97</v>
      </c>
      <c r="H15" s="22" t="s">
        <v>98</v>
      </c>
      <c r="I15" s="22" t="s">
        <v>99</v>
      </c>
      <c r="J15" s="22" t="s">
        <v>139</v>
      </c>
      <c r="K15" s="22" t="s">
        <v>140</v>
      </c>
    </row>
    <row r="16" spans="1:11" ht="12.75">
      <c r="A16" t="s">
        <v>131</v>
      </c>
      <c r="B16" s="27" t="e">
        <f>#REF!</f>
        <v>#REF!</v>
      </c>
      <c r="C16" s="21">
        <v>-0.0529</v>
      </c>
      <c r="D16" s="23">
        <v>452107.49413999997</v>
      </c>
      <c r="E16" s="23">
        <v>440225.71671999997</v>
      </c>
      <c r="F16" s="23">
        <v>439117.56224</v>
      </c>
      <c r="G16" s="24">
        <f aca="true" t="shared" si="3" ref="G16:I19">$C16*D16</f>
        <v>-23916.486440006</v>
      </c>
      <c r="H16" s="24">
        <f t="shared" si="3"/>
        <v>-23287.940414488</v>
      </c>
      <c r="I16" s="24">
        <f t="shared" si="3"/>
        <v>-23229.319042496</v>
      </c>
      <c r="J16" s="24">
        <f>SUM(G16:I16)</f>
        <v>-70433.74589699</v>
      </c>
      <c r="K16" s="24" t="e">
        <f>B16+J16</f>
        <v>#REF!</v>
      </c>
    </row>
    <row r="17" spans="1:11" ht="12.75">
      <c r="A17" t="s">
        <v>132</v>
      </c>
      <c r="B17" s="27" t="e">
        <f>#REF!</f>
        <v>#REF!</v>
      </c>
      <c r="C17" s="21">
        <v>-0.0569</v>
      </c>
      <c r="D17" s="23">
        <v>86714.9379</v>
      </c>
      <c r="E17" s="23">
        <v>98869.6747</v>
      </c>
      <c r="F17" s="23">
        <v>89830.2558</v>
      </c>
      <c r="G17" s="24">
        <f t="shared" si="3"/>
        <v>-4934.07996651</v>
      </c>
      <c r="H17" s="24">
        <f t="shared" si="3"/>
        <v>-5625.684490430001</v>
      </c>
      <c r="I17" s="24">
        <f t="shared" si="3"/>
        <v>-5111.34155502</v>
      </c>
      <c r="J17" s="24">
        <f>SUM(G17:I17)</f>
        <v>-15671.10601196</v>
      </c>
      <c r="K17" s="24" t="e">
        <f>B17+J17</f>
        <v>#REF!</v>
      </c>
    </row>
    <row r="18" spans="1:11" ht="12.75">
      <c r="A18" t="s">
        <v>133</v>
      </c>
      <c r="B18" s="27" t="e">
        <f>#REF!</f>
        <v>#REF!</v>
      </c>
      <c r="C18" s="21">
        <v>-0.0757</v>
      </c>
      <c r="D18" s="23">
        <v>38055.11645</v>
      </c>
      <c r="E18" s="23">
        <v>37789.764650000005</v>
      </c>
      <c r="F18" s="23">
        <v>41695.701250000006</v>
      </c>
      <c r="G18" s="24">
        <f t="shared" si="3"/>
        <v>-2880.772315265</v>
      </c>
      <c r="H18" s="24">
        <f t="shared" si="3"/>
        <v>-2860.6851840050003</v>
      </c>
      <c r="I18" s="24">
        <f t="shared" si="3"/>
        <v>-3156.3645846250006</v>
      </c>
      <c r="J18" s="24">
        <f>SUM(G18:I18)</f>
        <v>-8897.822083895</v>
      </c>
      <c r="K18" s="24" t="e">
        <f>B18+J18</f>
        <v>#REF!</v>
      </c>
    </row>
    <row r="19" spans="1:11" ht="12.75">
      <c r="A19" t="s">
        <v>134</v>
      </c>
      <c r="B19" s="27" t="e">
        <f>#REF!</f>
        <v>#REF!</v>
      </c>
      <c r="C19" s="21">
        <v>-0.062</v>
      </c>
      <c r="D19" s="23">
        <v>18629.434799999995</v>
      </c>
      <c r="E19" s="23">
        <v>37304.24939999999</v>
      </c>
      <c r="F19" s="23">
        <v>39821.8593</v>
      </c>
      <c r="G19" s="24">
        <f t="shared" si="3"/>
        <v>-1155.0249575999997</v>
      </c>
      <c r="H19" s="24">
        <f t="shared" si="3"/>
        <v>-2312.8634627999995</v>
      </c>
      <c r="I19" s="24">
        <f t="shared" si="3"/>
        <v>-2468.9552765999997</v>
      </c>
      <c r="J19" s="24">
        <f>SUM(G19:I19)</f>
        <v>-5936.843696999998</v>
      </c>
      <c r="K19" s="24" t="e">
        <f>B19+J19</f>
        <v>#REF!</v>
      </c>
    </row>
    <row r="20" spans="2:6" ht="12.75">
      <c r="B20" s="27" t="e">
        <f>#REF!</f>
        <v>#REF!</v>
      </c>
      <c r="D20" s="23"/>
      <c r="E20" s="23"/>
      <c r="F20" s="23"/>
    </row>
    <row r="25" ht="12.75">
      <c r="B25" s="19" t="s">
        <v>120</v>
      </c>
    </row>
  </sheetData>
  <sheetProtection/>
  <mergeCells count="4">
    <mergeCell ref="D14:F14"/>
    <mergeCell ref="G14:I14"/>
    <mergeCell ref="D3:F3"/>
    <mergeCell ref="G3:I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Maritime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Crockett, Gloria</dc:creator>
  <cp:keywords/>
  <dc:description/>
  <cp:lastModifiedBy>Donna Chandler</cp:lastModifiedBy>
  <cp:lastPrinted>2018-11-19T20:30:12Z</cp:lastPrinted>
  <dcterms:created xsi:type="dcterms:W3CDTF">2001-09-20T18:08:58Z</dcterms:created>
  <dcterms:modified xsi:type="dcterms:W3CDTF">2019-02-19T18:44:10Z</dcterms:modified>
  <cp:category/>
  <cp:version/>
  <cp:contentType/>
  <cp:contentStatus/>
</cp:coreProperties>
</file>