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IR-48" sheetId="1" r:id="rId1"/>
    <sheet name="IR-49" sheetId="2" r:id="rId2"/>
    <sheet name="IR-50" sheetId="3" r:id="rId3"/>
    <sheet name="IR-51" sheetId="4" r:id="rId4"/>
    <sheet name="IR-52" sheetId="5" r:id="rId5"/>
  </sheets>
  <definedNames/>
  <calcPr fullCalcOnLoad="1"/>
</workbook>
</file>

<file path=xl/sharedStrings.xml><?xml version="1.0" encoding="utf-8"?>
<sst xmlns="http://schemas.openxmlformats.org/spreadsheetml/2006/main" count="665" uniqueCount="108">
  <si>
    <t>Residential</t>
  </si>
  <si>
    <t>Residential Seasonal</t>
  </si>
  <si>
    <t>Residential Farms</t>
  </si>
  <si>
    <t>General Service</t>
  </si>
  <si>
    <t>General Seasonal</t>
  </si>
  <si>
    <t>Small Industrial</t>
  </si>
  <si>
    <t>Large Industrial</t>
  </si>
  <si>
    <t>Street Lighting</t>
  </si>
  <si>
    <t>Unmetered</t>
  </si>
  <si>
    <t>( $ x 1,000 )</t>
  </si>
  <si>
    <t>requirement</t>
  </si>
  <si>
    <t>revenue</t>
  </si>
  <si>
    <t>Net</t>
  </si>
  <si>
    <t>ratio</t>
  </si>
  <si>
    <t>Revenue</t>
  </si>
  <si>
    <t>to Cost</t>
  </si>
  <si>
    <t>( % )</t>
  </si>
  <si>
    <t>Base</t>
  </si>
  <si>
    <t>to 100 %</t>
  </si>
  <si>
    <t>equal to</t>
  </si>
  <si>
    <t>for R/C</t>
  </si>
  <si>
    <t>Change in</t>
  </si>
  <si>
    <t>( MWh )</t>
  </si>
  <si>
    <t>sales</t>
  </si>
  <si>
    <t>Energy</t>
  </si>
  <si>
    <t>From 2017 Cost Allocation Study</t>
  </si>
  <si>
    <t>( $ / kWh )</t>
  </si>
  <si>
    <t>average</t>
  </si>
  <si>
    <t>$ / kWh</t>
  </si>
  <si>
    <t>First</t>
  </si>
  <si>
    <t>block</t>
  </si>
  <si>
    <t>Second</t>
  </si>
  <si>
    <t>March 1, 2019 energy</t>
  </si>
  <si>
    <t>charges as proposed</t>
  </si>
  <si>
    <t>charges for 100% R/C</t>
  </si>
  <si>
    <t>Leave March 1, 2019 proposed service charges and demand charges unchanged.</t>
  </si>
  <si>
    <t>energy</t>
  </si>
  <si>
    <t>forecast</t>
  </si>
  <si>
    <t>change in</t>
  </si>
  <si>
    <t>Resulting</t>
  </si>
  <si>
    <t>2019 IRs of IRAC Staff</t>
  </si>
  <si>
    <t>COMMISSION STAFF IR-48</t>
  </si>
  <si>
    <t>RATES NEEDED TO BRING REVENUE TO COST RATIOS TO 100%</t>
  </si>
  <si>
    <t>RATES NEEDED TO BRING REVENUE TO COST RATIOS TO WITHIN 95% - 105%</t>
  </si>
  <si>
    <t>to within</t>
  </si>
  <si>
    <t>COMMISSION STAFF IR-49</t>
  </si>
  <si>
    <t>neutral</t>
  </si>
  <si>
    <t>to make</t>
  </si>
  <si>
    <t>Adjustment</t>
  </si>
  <si>
    <t>overall</t>
  </si>
  <si>
    <t>class</t>
  </si>
  <si>
    <t>95% - 105%</t>
  </si>
  <si>
    <t>Adjusted</t>
  </si>
  <si>
    <t>charges for 95% - 105% R/C</t>
  </si>
  <si>
    <t>RATES NEEDED TO BRING REVENUE TO COST RATIOS TO WITHIN 90% - 110%</t>
  </si>
  <si>
    <t>COMMISSION STAFF IR-50</t>
  </si>
  <si>
    <t>90% - 110%</t>
  </si>
  <si>
    <t>charges for 90% - 110% R/C</t>
  </si>
  <si>
    <t>( Page 1 of 2 )</t>
  </si>
  <si>
    <t>( Page 2 of 2 )</t>
  </si>
  <si>
    <t>A</t>
  </si>
  <si>
    <t>B</t>
  </si>
  <si>
    <t>C</t>
  </si>
  <si>
    <t>D</t>
  </si>
  <si>
    <t>F</t>
  </si>
  <si>
    <t>G</t>
  </si>
  <si>
    <t>E</t>
  </si>
  <si>
    <t>H</t>
  </si>
  <si>
    <t>I</t>
  </si>
  <si>
    <t>B - C</t>
  </si>
  <si>
    <t>(C + E) / B</t>
  </si>
  <si>
    <t>C / B</t>
  </si>
  <si>
    <t>E / A</t>
  </si>
  <si>
    <t>H * G</t>
  </si>
  <si>
    <t xml:space="preserve"> 2019-01-30</t>
  </si>
  <si>
    <t>A further step would be required for Street Lighting, based on monthly kWh used by each fixture type and size.</t>
  </si>
  <si>
    <t>E + F</t>
  </si>
  <si>
    <t>G / A</t>
  </si>
  <si>
    <t>J</t>
  </si>
  <si>
    <t>K</t>
  </si>
  <si>
    <t>J * K</t>
  </si>
  <si>
    <t>COMMISSION STAFF IR-51</t>
  </si>
  <si>
    <t>( 5 year phase in period )</t>
  </si>
  <si>
    <t>in rates</t>
  </si>
  <si>
    <t>Overall</t>
  </si>
  <si>
    <t>change</t>
  </si>
  <si>
    <t>100 * E / C</t>
  </si>
  <si>
    <t>( This would be in addition to the rate changes</t>
  </si>
  <si>
    <t xml:space="preserve">   normally proposed by MECL to meet changing</t>
  </si>
  <si>
    <t xml:space="preserve">   increase in rates proposed for each of March 1,</t>
  </si>
  <si>
    <t xml:space="preserve">   2019, March 1, 2020 and March 1, 2021 )</t>
  </si>
  <si>
    <t xml:space="preserve">   revenue requirements, such as the 1.1 %</t>
  </si>
  <si>
    <t>ANNUAL CHANGES IN RATES NEEDED TO BRING REVENUE TO COST RATIOS TO 100%</t>
  </si>
  <si>
    <t>Mar 1, 2019</t>
  </si>
  <si>
    <t>Mar 1, 2020</t>
  </si>
  <si>
    <t xml:space="preserve">   Annual change in rates needed to bring</t>
  </si>
  <si>
    <t xml:space="preserve">   R/C ratios to 100% over a 5 year period</t>
  </si>
  <si>
    <t>( 4 year phase in period )</t>
  </si>
  <si>
    <t xml:space="preserve">   R/C ratios to 100% over a 4 year period</t>
  </si>
  <si>
    <t>Mar 1, 2021</t>
  </si>
  <si>
    <t>Mar 1, 2022</t>
  </si>
  <si>
    <t>Mar 1, 2023</t>
  </si>
  <si>
    <t>COMMISSION STAFF IR-52</t>
  </si>
  <si>
    <t>ANNUAL CHANGES IN RATES NEEDED TO BRING REVENUE TO COST RATIOS TO WITHIN 95% - 105%</t>
  </si>
  <si>
    <t xml:space="preserve">   R/C ratios to within 95% - 105% over 5 years</t>
  </si>
  <si>
    <t>(C + G ) / B</t>
  </si>
  <si>
    <t>100 * G / C</t>
  </si>
  <si>
    <t xml:space="preserve">   R/C ratios to within 95% - 105% over 4 years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</si>
</sst>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5" fontId="0" fillId="0" borderId="0" xfId="0" applyNumberFormat="1" applyAlignment="1" quotePrefix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0">
      <selection activeCell="H54" sqref="H54"/>
    </sheetView>
  </sheetViews>
  <sheetFormatPr defaultColWidth="9.140625" defaultRowHeight="15"/>
  <cols>
    <col min="1" max="11" width="10.7109375" style="0" customWidth="1"/>
  </cols>
  <sheetData>
    <row r="1" spans="1:7" ht="15">
      <c r="A1" t="s">
        <v>40</v>
      </c>
      <c r="G1" s="4" t="s">
        <v>41</v>
      </c>
    </row>
    <row r="2" spans="1:7" ht="15">
      <c r="A2" t="s">
        <v>74</v>
      </c>
      <c r="G2" s="4" t="s">
        <v>42</v>
      </c>
    </row>
    <row r="3" ht="15">
      <c r="G3" s="4" t="s">
        <v>58</v>
      </c>
    </row>
    <row r="4" ht="15">
      <c r="G4" s="4"/>
    </row>
    <row r="5" spans="3:11" ht="15">
      <c r="C5" s="4" t="s">
        <v>60</v>
      </c>
      <c r="D5" s="4" t="s">
        <v>61</v>
      </c>
      <c r="E5" s="4" t="s">
        <v>62</v>
      </c>
      <c r="F5" s="4" t="s">
        <v>63</v>
      </c>
      <c r="G5" s="4" t="s">
        <v>66</v>
      </c>
      <c r="H5" s="4" t="s">
        <v>64</v>
      </c>
      <c r="I5" s="4" t="s">
        <v>65</v>
      </c>
      <c r="J5" s="4" t="s">
        <v>67</v>
      </c>
      <c r="K5" s="4" t="s">
        <v>68</v>
      </c>
    </row>
    <row r="6" spans="3:11" ht="15">
      <c r="C6" s="4"/>
      <c r="D6" s="4"/>
      <c r="E6" s="4"/>
      <c r="F6" s="4"/>
      <c r="G6" s="4"/>
      <c r="H6" s="4"/>
      <c r="I6" s="4"/>
      <c r="J6" s="4"/>
      <c r="K6" s="4"/>
    </row>
    <row r="7" spans="3:11" ht="15">
      <c r="C7" s="4"/>
      <c r="F7" s="4" t="s">
        <v>71</v>
      </c>
      <c r="G7" s="4" t="s">
        <v>69</v>
      </c>
      <c r="H7" s="11" t="s">
        <v>70</v>
      </c>
      <c r="I7" s="11" t="s">
        <v>72</v>
      </c>
      <c r="J7" s="4"/>
      <c r="K7" s="4" t="s">
        <v>73</v>
      </c>
    </row>
    <row r="8" spans="7:9" ht="15">
      <c r="G8" s="4" t="s">
        <v>21</v>
      </c>
      <c r="H8" s="4"/>
      <c r="I8" s="4" t="s">
        <v>21</v>
      </c>
    </row>
    <row r="9" spans="7:9" ht="15">
      <c r="G9" s="4" t="s">
        <v>50</v>
      </c>
      <c r="H9" s="4"/>
      <c r="I9" s="4" t="s">
        <v>27</v>
      </c>
    </row>
    <row r="10" spans="3:11" ht="15">
      <c r="C10" s="3"/>
      <c r="D10" s="3" t="s">
        <v>25</v>
      </c>
      <c r="E10" s="3"/>
      <c r="F10" s="3"/>
      <c r="G10" s="4" t="s">
        <v>11</v>
      </c>
      <c r="H10" s="4" t="s">
        <v>39</v>
      </c>
      <c r="I10" s="4" t="s">
        <v>28</v>
      </c>
      <c r="J10" s="4">
        <v>2019</v>
      </c>
      <c r="K10" s="4" t="s">
        <v>39</v>
      </c>
    </row>
    <row r="11" spans="3:11" ht="15">
      <c r="C11" s="4"/>
      <c r="D11" s="4" t="s">
        <v>12</v>
      </c>
      <c r="E11" s="4"/>
      <c r="F11" s="4" t="s">
        <v>14</v>
      </c>
      <c r="G11" s="4" t="s">
        <v>20</v>
      </c>
      <c r="H11" s="4" t="s">
        <v>14</v>
      </c>
      <c r="I11" s="4" t="s">
        <v>20</v>
      </c>
      <c r="J11" s="4" t="s">
        <v>37</v>
      </c>
      <c r="K11" s="4">
        <v>2019</v>
      </c>
    </row>
    <row r="12" spans="3:11" ht="15">
      <c r="C12" s="4" t="s">
        <v>24</v>
      </c>
      <c r="D12" s="4" t="s">
        <v>11</v>
      </c>
      <c r="E12" s="4" t="s">
        <v>17</v>
      </c>
      <c r="F12" s="4" t="s">
        <v>15</v>
      </c>
      <c r="G12" s="4" t="s">
        <v>19</v>
      </c>
      <c r="H12" s="4" t="s">
        <v>15</v>
      </c>
      <c r="I12" s="4" t="s">
        <v>19</v>
      </c>
      <c r="J12" s="4" t="s">
        <v>36</v>
      </c>
      <c r="K12" s="4" t="s">
        <v>38</v>
      </c>
    </row>
    <row r="13" spans="3:11" ht="15">
      <c r="C13" s="4" t="s">
        <v>23</v>
      </c>
      <c r="D13" s="4" t="s">
        <v>10</v>
      </c>
      <c r="E13" s="4" t="s">
        <v>11</v>
      </c>
      <c r="F13" s="4" t="s">
        <v>13</v>
      </c>
      <c r="G13" s="4" t="s">
        <v>18</v>
      </c>
      <c r="H13" s="4" t="s">
        <v>13</v>
      </c>
      <c r="I13" s="14">
        <v>1</v>
      </c>
      <c r="J13" s="4" t="s">
        <v>23</v>
      </c>
      <c r="K13" s="4" t="s">
        <v>11</v>
      </c>
    </row>
    <row r="14" spans="3:11" ht="15.75" thickBot="1">
      <c r="C14" s="8" t="s">
        <v>22</v>
      </c>
      <c r="D14" s="8" t="s">
        <v>9</v>
      </c>
      <c r="E14" s="8" t="s">
        <v>9</v>
      </c>
      <c r="F14" s="8" t="s">
        <v>16</v>
      </c>
      <c r="G14" s="8" t="s">
        <v>9</v>
      </c>
      <c r="H14" s="8" t="s">
        <v>16</v>
      </c>
      <c r="I14" s="8" t="s">
        <v>26</v>
      </c>
      <c r="J14" s="8" t="s">
        <v>22</v>
      </c>
      <c r="K14" s="8" t="s">
        <v>9</v>
      </c>
    </row>
    <row r="16" spans="1:11" ht="15">
      <c r="A16" t="s">
        <v>0</v>
      </c>
      <c r="C16" s="1">
        <v>505169</v>
      </c>
      <c r="D16" s="1">
        <v>91806</v>
      </c>
      <c r="E16" s="1">
        <v>83860</v>
      </c>
      <c r="F16" s="1">
        <f>100*E16/D16</f>
        <v>91.34479227937172</v>
      </c>
      <c r="G16" s="1">
        <f>D16-E16</f>
        <v>7946</v>
      </c>
      <c r="H16" s="1">
        <f>100*(E16+G16)/D16</f>
        <v>100</v>
      </c>
      <c r="I16" s="5">
        <f>(G16+G17+G18)/(C16+C17+C18)</f>
        <v>0.016729230139996602</v>
      </c>
      <c r="J16" s="1">
        <v>620700</v>
      </c>
      <c r="K16" s="1">
        <f>J16*I16</f>
        <v>10383.833147895892</v>
      </c>
    </row>
    <row r="17" spans="1:11" ht="15">
      <c r="A17" t="s">
        <v>1</v>
      </c>
      <c r="C17" s="1">
        <v>19523</v>
      </c>
      <c r="D17" s="1">
        <v>4512</v>
      </c>
      <c r="E17" s="1">
        <v>4309</v>
      </c>
      <c r="F17" s="1">
        <f aca="true" t="shared" si="0" ref="F17:F24">100*E17/D17</f>
        <v>95.50088652482269</v>
      </c>
      <c r="G17" s="1">
        <f aca="true" t="shared" si="1" ref="G17:G24">D17-E17</f>
        <v>203</v>
      </c>
      <c r="H17" s="1">
        <f aca="true" t="shared" si="2" ref="H17:H24">100*(E17+G17)/D17</f>
        <v>100</v>
      </c>
      <c r="I17" s="5"/>
      <c r="J17" s="1"/>
      <c r="K17" s="1"/>
    </row>
    <row r="18" spans="1:11" ht="15">
      <c r="A18" t="s">
        <v>2</v>
      </c>
      <c r="C18" s="1">
        <v>52322</v>
      </c>
      <c r="D18" s="1">
        <v>8372</v>
      </c>
      <c r="E18" s="1">
        <v>6868</v>
      </c>
      <c r="F18" s="1">
        <f t="shared" si="0"/>
        <v>82.03535594839943</v>
      </c>
      <c r="G18" s="1">
        <f t="shared" si="1"/>
        <v>1504</v>
      </c>
      <c r="H18" s="1">
        <f t="shared" si="2"/>
        <v>100</v>
      </c>
      <c r="I18" s="5"/>
      <c r="J18" s="1"/>
      <c r="K18" s="1"/>
    </row>
    <row r="19" spans="1:11" ht="15">
      <c r="A19" t="s">
        <v>3</v>
      </c>
      <c r="C19" s="1">
        <v>375639</v>
      </c>
      <c r="D19" s="1">
        <v>47880</v>
      </c>
      <c r="E19" s="1">
        <v>58151</v>
      </c>
      <c r="F19" s="1">
        <f t="shared" si="0"/>
        <v>121.4515455304929</v>
      </c>
      <c r="G19" s="1">
        <f t="shared" si="1"/>
        <v>-10271</v>
      </c>
      <c r="H19" s="1">
        <f t="shared" si="2"/>
        <v>100</v>
      </c>
      <c r="I19" s="5">
        <f>(G19+G20)/(C19+C20)</f>
        <v>-0.027205794480902427</v>
      </c>
      <c r="J19" s="1">
        <v>389700</v>
      </c>
      <c r="K19" s="1">
        <f>J19*I19</f>
        <v>-10602.098109207676</v>
      </c>
    </row>
    <row r="20" spans="1:11" ht="15">
      <c r="A20" t="s">
        <v>4</v>
      </c>
      <c r="C20" s="1">
        <v>9279</v>
      </c>
      <c r="D20" s="1">
        <v>1565</v>
      </c>
      <c r="E20" s="1">
        <v>1766</v>
      </c>
      <c r="F20" s="1">
        <f t="shared" si="0"/>
        <v>112.84345047923323</v>
      </c>
      <c r="G20" s="1">
        <f t="shared" si="1"/>
        <v>-201</v>
      </c>
      <c r="H20" s="1">
        <f t="shared" si="2"/>
        <v>100</v>
      </c>
      <c r="I20" s="5"/>
      <c r="J20" s="1"/>
      <c r="K20" s="1"/>
    </row>
    <row r="21" spans="1:11" ht="15">
      <c r="A21" t="s">
        <v>5</v>
      </c>
      <c r="C21" s="1">
        <v>88162</v>
      </c>
      <c r="D21" s="1">
        <v>11402</v>
      </c>
      <c r="E21" s="1">
        <v>11675</v>
      </c>
      <c r="F21" s="1">
        <f t="shared" si="0"/>
        <v>102.39431678652868</v>
      </c>
      <c r="G21" s="1">
        <f t="shared" si="1"/>
        <v>-273</v>
      </c>
      <c r="H21" s="1">
        <f t="shared" si="2"/>
        <v>100</v>
      </c>
      <c r="I21" s="5">
        <f>G21/C21</f>
        <v>-0.0030965722193235182</v>
      </c>
      <c r="J21" s="1">
        <v>94400</v>
      </c>
      <c r="K21" s="1">
        <f>J21*I21</f>
        <v>-292.31641750414013</v>
      </c>
    </row>
    <row r="22" spans="1:11" ht="15">
      <c r="A22" t="s">
        <v>6</v>
      </c>
      <c r="C22" s="1">
        <v>150029</v>
      </c>
      <c r="D22" s="1">
        <v>14115</v>
      </c>
      <c r="E22" s="1">
        <v>13205</v>
      </c>
      <c r="F22" s="1">
        <f t="shared" si="0"/>
        <v>93.55295784626284</v>
      </c>
      <c r="G22" s="1">
        <f t="shared" si="1"/>
        <v>910</v>
      </c>
      <c r="H22" s="1">
        <f t="shared" si="2"/>
        <v>100</v>
      </c>
      <c r="I22" s="5">
        <f>G22/C22</f>
        <v>0.006065494004492465</v>
      </c>
      <c r="J22" s="1">
        <v>154700</v>
      </c>
      <c r="K22" s="1">
        <f>J22*I22</f>
        <v>938.3319224949843</v>
      </c>
    </row>
    <row r="23" spans="1:11" ht="15">
      <c r="A23" t="s">
        <v>7</v>
      </c>
      <c r="C23" s="1">
        <v>5519</v>
      </c>
      <c r="D23" s="1">
        <v>2559</v>
      </c>
      <c r="E23" s="1">
        <v>2330</v>
      </c>
      <c r="F23" s="1">
        <f t="shared" si="0"/>
        <v>91.05119187182493</v>
      </c>
      <c r="G23" s="1">
        <f t="shared" si="1"/>
        <v>229</v>
      </c>
      <c r="H23" s="1">
        <f t="shared" si="2"/>
        <v>100</v>
      </c>
      <c r="I23" s="5">
        <f>G23/C23</f>
        <v>0.04149302409856858</v>
      </c>
      <c r="J23" s="1">
        <v>5000</v>
      </c>
      <c r="K23" s="1">
        <f>J23*I23</f>
        <v>207.4651204928429</v>
      </c>
    </row>
    <row r="24" spans="1:11" ht="15">
      <c r="A24" t="s">
        <v>8</v>
      </c>
      <c r="C24" s="6">
        <v>2416</v>
      </c>
      <c r="D24" s="6">
        <v>391</v>
      </c>
      <c r="E24" s="6">
        <v>407</v>
      </c>
      <c r="F24" s="6">
        <f t="shared" si="0"/>
        <v>104.0920716112532</v>
      </c>
      <c r="G24" s="6">
        <f t="shared" si="1"/>
        <v>-16</v>
      </c>
      <c r="H24" s="1">
        <f t="shared" si="2"/>
        <v>100</v>
      </c>
      <c r="I24" s="5">
        <f>G24/C24</f>
        <v>-0.006622516556291391</v>
      </c>
      <c r="J24" s="6">
        <v>2500</v>
      </c>
      <c r="K24" s="6">
        <f>J24*I24</f>
        <v>-16.556291390728475</v>
      </c>
    </row>
    <row r="25" spans="10:11" ht="15">
      <c r="J25" s="1"/>
      <c r="K25" s="1"/>
    </row>
    <row r="26" spans="3:11" ht="15">
      <c r="C26" s="2">
        <f>SUM(C16:C24)</f>
        <v>1208058</v>
      </c>
      <c r="D26" s="2">
        <f>SUM(D16:D24)</f>
        <v>182602</v>
      </c>
      <c r="E26" s="2">
        <f>SUM(E16:E24)</f>
        <v>182571</v>
      </c>
      <c r="F26" s="1">
        <f>100*E26/D26</f>
        <v>99.98302318704067</v>
      </c>
      <c r="G26" s="2">
        <f>SUM(G16:G24)</f>
        <v>31</v>
      </c>
      <c r="H26" s="2"/>
      <c r="J26" s="2">
        <f>SUM(J16:J24)</f>
        <v>1267000</v>
      </c>
      <c r="K26" s="2">
        <f>SUM(K16:K24)</f>
        <v>618.6593727811739</v>
      </c>
    </row>
    <row r="29" ht="15">
      <c r="B29" t="s">
        <v>35</v>
      </c>
    </row>
    <row r="30" ht="15">
      <c r="B30" t="s">
        <v>75</v>
      </c>
    </row>
    <row r="35" spans="1:7" ht="15">
      <c r="A35" t="s">
        <v>40</v>
      </c>
      <c r="G35" s="4" t="s">
        <v>41</v>
      </c>
    </row>
    <row r="36" spans="1:7" ht="15">
      <c r="A36" t="s">
        <v>74</v>
      </c>
      <c r="G36" s="4" t="s">
        <v>42</v>
      </c>
    </row>
    <row r="37" ht="15">
      <c r="G37" s="4" t="s">
        <v>59</v>
      </c>
    </row>
    <row r="39" ht="15">
      <c r="C39" s="4" t="s">
        <v>21</v>
      </c>
    </row>
    <row r="40" ht="15">
      <c r="C40" s="4" t="s">
        <v>27</v>
      </c>
    </row>
    <row r="41" spans="3:8" ht="15">
      <c r="C41" s="4" t="s">
        <v>28</v>
      </c>
      <c r="E41" s="7" t="s">
        <v>32</v>
      </c>
      <c r="H41" s="7" t="s">
        <v>32</v>
      </c>
    </row>
    <row r="42" spans="3:9" ht="15">
      <c r="C42" s="4" t="s">
        <v>20</v>
      </c>
      <c r="E42" s="3" t="s">
        <v>33</v>
      </c>
      <c r="F42" s="3"/>
      <c r="H42" s="3" t="s">
        <v>34</v>
      </c>
      <c r="I42" s="3"/>
    </row>
    <row r="43" spans="3:9" ht="15">
      <c r="C43" s="4" t="s">
        <v>19</v>
      </c>
      <c r="E43" s="4" t="s">
        <v>29</v>
      </c>
      <c r="F43" s="4" t="s">
        <v>31</v>
      </c>
      <c r="H43" s="4" t="s">
        <v>29</v>
      </c>
      <c r="I43" s="4" t="s">
        <v>31</v>
      </c>
    </row>
    <row r="44" spans="3:9" ht="15">
      <c r="C44" s="14">
        <v>1</v>
      </c>
      <c r="E44" s="4" t="s">
        <v>30</v>
      </c>
      <c r="F44" s="4" t="s">
        <v>30</v>
      </c>
      <c r="H44" s="4" t="s">
        <v>30</v>
      </c>
      <c r="I44" s="4" t="s">
        <v>30</v>
      </c>
    </row>
    <row r="45" spans="3:9" ht="15.75" thickBot="1">
      <c r="C45" s="8" t="s">
        <v>26</v>
      </c>
      <c r="E45" s="8" t="s">
        <v>26</v>
      </c>
      <c r="F45" s="8" t="s">
        <v>26</v>
      </c>
      <c r="H45" s="8" t="s">
        <v>26</v>
      </c>
      <c r="I45" s="8" t="s">
        <v>26</v>
      </c>
    </row>
    <row r="47" spans="1:9" ht="15">
      <c r="A47" t="s">
        <v>0</v>
      </c>
      <c r="C47" s="9">
        <f>I16</f>
        <v>0.016729230139996602</v>
      </c>
      <c r="E47" s="5">
        <v>0.1456</v>
      </c>
      <c r="F47" s="5">
        <v>0.1155</v>
      </c>
      <c r="H47" s="5">
        <f>E47+C47</f>
        <v>0.16232923013999662</v>
      </c>
      <c r="I47" s="5">
        <f>F47+C47</f>
        <v>0.1322292301399966</v>
      </c>
    </row>
    <row r="48" spans="1:9" ht="15">
      <c r="A48" t="s">
        <v>1</v>
      </c>
      <c r="E48" s="5"/>
      <c r="F48" s="5"/>
      <c r="H48" s="5"/>
      <c r="I48" s="5"/>
    </row>
    <row r="49" spans="1:9" ht="15">
      <c r="A49" t="s">
        <v>2</v>
      </c>
      <c r="E49" s="5"/>
      <c r="F49" s="5"/>
      <c r="H49" s="5"/>
      <c r="I49" s="5"/>
    </row>
    <row r="50" spans="1:9" ht="15">
      <c r="A50" t="s">
        <v>3</v>
      </c>
      <c r="C50" s="9">
        <f>I19</f>
        <v>-0.027205794480902427</v>
      </c>
      <c r="E50" s="5">
        <v>0.1793</v>
      </c>
      <c r="F50" s="5">
        <v>0.1167</v>
      </c>
      <c r="H50" s="5">
        <f>E50+C50</f>
        <v>0.15209420551909755</v>
      </c>
      <c r="I50" s="5">
        <f>F50+C50</f>
        <v>0.08949420551909756</v>
      </c>
    </row>
    <row r="51" spans="1:9" ht="15">
      <c r="A51" t="s">
        <v>4</v>
      </c>
      <c r="E51" s="5"/>
      <c r="F51" s="5"/>
      <c r="H51" s="5"/>
      <c r="I51" s="5"/>
    </row>
    <row r="52" spans="1:9" ht="15">
      <c r="A52" t="s">
        <v>5</v>
      </c>
      <c r="C52" s="9">
        <f>I21</f>
        <v>-0.0030965722193235182</v>
      </c>
      <c r="E52" s="5">
        <v>0.1756</v>
      </c>
      <c r="F52" s="5">
        <v>0.0879</v>
      </c>
      <c r="H52" s="5">
        <f>E52+C52</f>
        <v>0.17250342778067648</v>
      </c>
      <c r="I52" s="5">
        <f>F52+C52</f>
        <v>0.08480342778067648</v>
      </c>
    </row>
    <row r="53" spans="1:9" ht="15">
      <c r="A53" t="s">
        <v>6</v>
      </c>
      <c r="C53" s="9">
        <f>I22</f>
        <v>0.006065494004492465</v>
      </c>
      <c r="E53" s="5">
        <v>0.0723</v>
      </c>
      <c r="F53" s="5"/>
      <c r="H53" s="5">
        <f>E53+C53</f>
        <v>0.07836549400449247</v>
      </c>
      <c r="I53" s="5"/>
    </row>
    <row r="54" spans="1:9" ht="15">
      <c r="A54" t="s">
        <v>7</v>
      </c>
      <c r="C54" s="9">
        <f>I23</f>
        <v>0.04149302409856858</v>
      </c>
      <c r="E54" s="5"/>
      <c r="F54" s="5"/>
      <c r="H54" s="5"/>
      <c r="I54" s="5"/>
    </row>
    <row r="55" spans="1:9" ht="15">
      <c r="A55" t="s">
        <v>8</v>
      </c>
      <c r="C55" s="9">
        <f>I24</f>
        <v>-0.006622516556291391</v>
      </c>
      <c r="E55" s="5">
        <v>0.1757</v>
      </c>
      <c r="F55" s="5"/>
      <c r="H55" s="5">
        <f>E55+C55</f>
        <v>0.1690774834437086</v>
      </c>
      <c r="I55" s="5"/>
    </row>
    <row r="58" ht="15">
      <c r="B58" t="s">
        <v>35</v>
      </c>
    </row>
    <row r="59" ht="15">
      <c r="B59" t="s">
        <v>75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3">
      <selection activeCell="Q14" sqref="Q14"/>
    </sheetView>
  </sheetViews>
  <sheetFormatPr defaultColWidth="9.140625" defaultRowHeight="15"/>
  <cols>
    <col min="1" max="13" width="10.7109375" style="0" customWidth="1"/>
    <col min="14" max="14" width="0" style="0" hidden="1" customWidth="1"/>
  </cols>
  <sheetData>
    <row r="1" spans="1:10" ht="15">
      <c r="A1" t="s">
        <v>40</v>
      </c>
      <c r="G1" s="4" t="s">
        <v>45</v>
      </c>
      <c r="H1" s="4"/>
      <c r="I1" s="4"/>
      <c r="J1" s="4"/>
    </row>
    <row r="2" spans="1:10" ht="15">
      <c r="A2" t="s">
        <v>74</v>
      </c>
      <c r="G2" s="4" t="s">
        <v>43</v>
      </c>
      <c r="H2" s="4"/>
      <c r="I2" s="4"/>
      <c r="J2" s="4"/>
    </row>
    <row r="3" ht="15">
      <c r="G3" s="4" t="s">
        <v>58</v>
      </c>
    </row>
    <row r="4" ht="15">
      <c r="G4" s="4"/>
    </row>
    <row r="5" spans="3:13" ht="15">
      <c r="C5" s="4" t="s">
        <v>60</v>
      </c>
      <c r="D5" s="4" t="s">
        <v>61</v>
      </c>
      <c r="E5" s="4" t="s">
        <v>62</v>
      </c>
      <c r="F5" s="4" t="s">
        <v>63</v>
      </c>
      <c r="G5" s="4" t="s">
        <v>66</v>
      </c>
      <c r="H5" s="4" t="s">
        <v>64</v>
      </c>
      <c r="I5" s="4" t="s">
        <v>65</v>
      </c>
      <c r="J5" s="4" t="s">
        <v>67</v>
      </c>
      <c r="K5" s="4" t="s">
        <v>68</v>
      </c>
      <c r="L5" s="4" t="s">
        <v>78</v>
      </c>
      <c r="M5" s="4" t="s">
        <v>79</v>
      </c>
    </row>
    <row r="7" spans="6:13" ht="15">
      <c r="F7" s="4" t="s">
        <v>71</v>
      </c>
      <c r="G7" s="4"/>
      <c r="I7" s="4" t="s">
        <v>76</v>
      </c>
      <c r="J7" s="4" t="s">
        <v>105</v>
      </c>
      <c r="K7" s="4" t="s">
        <v>77</v>
      </c>
      <c r="L7" s="4"/>
      <c r="M7" s="4" t="s">
        <v>80</v>
      </c>
    </row>
    <row r="8" spans="7:11" ht="15">
      <c r="G8" s="4" t="s">
        <v>21</v>
      </c>
      <c r="K8" s="4" t="s">
        <v>21</v>
      </c>
    </row>
    <row r="9" spans="7:11" ht="15">
      <c r="G9" s="4" t="s">
        <v>50</v>
      </c>
      <c r="H9" s="4" t="s">
        <v>48</v>
      </c>
      <c r="I9" s="4"/>
      <c r="J9" s="4"/>
      <c r="K9" s="4" t="s">
        <v>27</v>
      </c>
    </row>
    <row r="10" spans="3:13" ht="15">
      <c r="C10" s="3"/>
      <c r="D10" s="3" t="s">
        <v>25</v>
      </c>
      <c r="E10" s="3"/>
      <c r="F10" s="3"/>
      <c r="G10" s="4" t="s">
        <v>11</v>
      </c>
      <c r="H10" s="4" t="s">
        <v>47</v>
      </c>
      <c r="I10" s="4" t="s">
        <v>52</v>
      </c>
      <c r="J10" s="4" t="s">
        <v>39</v>
      </c>
      <c r="K10" s="4" t="s">
        <v>28</v>
      </c>
      <c r="L10" s="4">
        <v>2019</v>
      </c>
      <c r="M10" s="4" t="s">
        <v>39</v>
      </c>
    </row>
    <row r="11" spans="3:13" ht="15">
      <c r="C11" s="4"/>
      <c r="D11" s="4" t="s">
        <v>12</v>
      </c>
      <c r="E11" s="4"/>
      <c r="F11" s="4" t="s">
        <v>14</v>
      </c>
      <c r="G11" s="4" t="s">
        <v>20</v>
      </c>
      <c r="H11" s="4" t="s">
        <v>11</v>
      </c>
      <c r="I11" s="4" t="s">
        <v>38</v>
      </c>
      <c r="J11" s="4" t="s">
        <v>14</v>
      </c>
      <c r="K11" s="4" t="s">
        <v>20</v>
      </c>
      <c r="L11" s="4" t="s">
        <v>37</v>
      </c>
      <c r="M11" s="4">
        <v>2019</v>
      </c>
    </row>
    <row r="12" spans="3:13" ht="15">
      <c r="C12" s="4" t="s">
        <v>24</v>
      </c>
      <c r="D12" s="4" t="s">
        <v>11</v>
      </c>
      <c r="E12" s="4" t="s">
        <v>17</v>
      </c>
      <c r="F12" s="4" t="s">
        <v>15</v>
      </c>
      <c r="G12" s="4" t="s">
        <v>44</v>
      </c>
      <c r="H12" s="4" t="s">
        <v>46</v>
      </c>
      <c r="I12" s="4" t="s">
        <v>50</v>
      </c>
      <c r="J12" s="4" t="s">
        <v>15</v>
      </c>
      <c r="K12" s="4" t="s">
        <v>44</v>
      </c>
      <c r="L12" s="4" t="s">
        <v>36</v>
      </c>
      <c r="M12" s="4" t="s">
        <v>38</v>
      </c>
    </row>
    <row r="13" spans="3:13" ht="15">
      <c r="C13" s="4" t="s">
        <v>23</v>
      </c>
      <c r="D13" s="4" t="s">
        <v>10</v>
      </c>
      <c r="E13" s="4" t="s">
        <v>11</v>
      </c>
      <c r="F13" s="4" t="s">
        <v>13</v>
      </c>
      <c r="G13" s="4" t="s">
        <v>51</v>
      </c>
      <c r="H13" s="4" t="s">
        <v>49</v>
      </c>
      <c r="I13" s="4" t="s">
        <v>11</v>
      </c>
      <c r="J13" s="4" t="s">
        <v>13</v>
      </c>
      <c r="K13" s="4" t="s">
        <v>51</v>
      </c>
      <c r="L13" s="4" t="s">
        <v>23</v>
      </c>
      <c r="M13" s="4" t="s">
        <v>11</v>
      </c>
    </row>
    <row r="14" spans="3:13" ht="15.75" thickBot="1">
      <c r="C14" s="8" t="s">
        <v>22</v>
      </c>
      <c r="D14" s="8" t="s">
        <v>9</v>
      </c>
      <c r="E14" s="8" t="s">
        <v>9</v>
      </c>
      <c r="F14" s="8" t="s">
        <v>16</v>
      </c>
      <c r="G14" s="8" t="s">
        <v>9</v>
      </c>
      <c r="H14" s="8" t="s">
        <v>9</v>
      </c>
      <c r="I14" s="8" t="s">
        <v>9</v>
      </c>
      <c r="J14" s="8" t="s">
        <v>16</v>
      </c>
      <c r="K14" s="8" t="s">
        <v>26</v>
      </c>
      <c r="L14" s="8" t="s">
        <v>22</v>
      </c>
      <c r="M14" s="8" t="s">
        <v>9</v>
      </c>
    </row>
    <row r="16" spans="1:13" ht="15">
      <c r="A16" t="s">
        <v>0</v>
      </c>
      <c r="C16" s="1">
        <v>505169</v>
      </c>
      <c r="D16" s="1">
        <v>91806</v>
      </c>
      <c r="E16" s="1">
        <v>83860</v>
      </c>
      <c r="F16" s="1">
        <f>100*E16/D16</f>
        <v>91.34479227937172</v>
      </c>
      <c r="G16" s="1">
        <f>IF(F16&lt;95,D16*0.95-E16,IF(F16&gt;105,D16*1.05-E16,0))</f>
        <v>3355.699999999997</v>
      </c>
      <c r="H16" s="1">
        <f aca="true" t="shared" si="0" ref="H16:H24">-G$26*N46/N$55</f>
        <v>2461.002027784189</v>
      </c>
      <c r="I16" s="1">
        <f>G16+H16</f>
        <v>5816.702027784186</v>
      </c>
      <c r="J16" s="1">
        <f>100*(E16+I16)/D16</f>
        <v>97.68065488942354</v>
      </c>
      <c r="K16" s="5">
        <f>(I16+I17+I18)/(C16+C17+C18)</f>
        <v>0.012560315007499845</v>
      </c>
      <c r="L16" s="1">
        <v>620700</v>
      </c>
      <c r="M16" s="1">
        <f>L16*K16</f>
        <v>7796.187525155154</v>
      </c>
    </row>
    <row r="17" spans="1:13" ht="15">
      <c r="A17" t="s">
        <v>1</v>
      </c>
      <c r="C17" s="1">
        <v>19523</v>
      </c>
      <c r="D17" s="1">
        <v>4512</v>
      </c>
      <c r="E17" s="1">
        <v>4309</v>
      </c>
      <c r="F17" s="1">
        <f aca="true" t="shared" si="1" ref="F17:F24">100*E17/D17</f>
        <v>95.50088652482269</v>
      </c>
      <c r="G17" s="1">
        <f aca="true" t="shared" si="2" ref="G17:G24">IF(F17&lt;95,D17*0.95-E17,IF(F17&gt;105,D17*1.05-E17,0))</f>
        <v>0</v>
      </c>
      <c r="H17" s="1">
        <f t="shared" si="0"/>
        <v>120.95114861079081</v>
      </c>
      <c r="I17" s="1">
        <f aca="true" t="shared" si="3" ref="I17:I24">G17+H17</f>
        <v>120.95114861079081</v>
      </c>
      <c r="J17" s="1">
        <f aca="true" t="shared" si="4" ref="J17:J24">100*(E17+I17)/D17</f>
        <v>98.18154141424624</v>
      </c>
      <c r="K17" s="5"/>
      <c r="L17" s="1"/>
      <c r="M17" s="1"/>
    </row>
    <row r="18" spans="1:13" ht="15">
      <c r="A18" t="s">
        <v>2</v>
      </c>
      <c r="C18" s="1">
        <v>52322</v>
      </c>
      <c r="D18" s="1">
        <v>8372</v>
      </c>
      <c r="E18" s="1">
        <v>6868</v>
      </c>
      <c r="F18" s="1">
        <f t="shared" si="1"/>
        <v>82.03535594839943</v>
      </c>
      <c r="G18" s="1">
        <f t="shared" si="2"/>
        <v>1085.3999999999996</v>
      </c>
      <c r="H18" s="1">
        <f t="shared" si="0"/>
        <v>224.42442734254004</v>
      </c>
      <c r="I18" s="1">
        <f t="shared" si="3"/>
        <v>1309.8244273425396</v>
      </c>
      <c r="J18" s="1">
        <f t="shared" si="4"/>
        <v>97.68065488942355</v>
      </c>
      <c r="K18" s="5"/>
      <c r="L18" s="1"/>
      <c r="M18" s="1"/>
    </row>
    <row r="19" spans="1:13" ht="15">
      <c r="A19" t="s">
        <v>3</v>
      </c>
      <c r="C19" s="1">
        <v>375639</v>
      </c>
      <c r="D19" s="1">
        <v>47880</v>
      </c>
      <c r="E19" s="1">
        <v>58151</v>
      </c>
      <c r="F19" s="1">
        <f t="shared" si="1"/>
        <v>121.4515455304929</v>
      </c>
      <c r="G19" s="1">
        <f t="shared" si="2"/>
        <v>-7877</v>
      </c>
      <c r="H19" s="1">
        <f t="shared" si="0"/>
        <v>0</v>
      </c>
      <c r="I19" s="1">
        <f t="shared" si="3"/>
        <v>-7877</v>
      </c>
      <c r="J19" s="1">
        <f t="shared" si="4"/>
        <v>105</v>
      </c>
      <c r="K19" s="5">
        <f>(I19+I20)/(C19+C20)</f>
        <v>-0.020782997937222995</v>
      </c>
      <c r="L19" s="1">
        <v>389700</v>
      </c>
      <c r="M19" s="1">
        <f>L19*K19</f>
        <v>-8099.134296135801</v>
      </c>
    </row>
    <row r="20" spans="1:13" ht="15">
      <c r="A20" t="s">
        <v>4</v>
      </c>
      <c r="C20" s="1">
        <v>9279</v>
      </c>
      <c r="D20" s="1">
        <v>1565</v>
      </c>
      <c r="E20" s="1">
        <v>1766</v>
      </c>
      <c r="F20" s="1">
        <f t="shared" si="1"/>
        <v>112.84345047923323</v>
      </c>
      <c r="G20" s="1">
        <f t="shared" si="2"/>
        <v>-122.75</v>
      </c>
      <c r="H20" s="1">
        <f t="shared" si="0"/>
        <v>0</v>
      </c>
      <c r="I20" s="1">
        <f t="shared" si="3"/>
        <v>-122.75</v>
      </c>
      <c r="J20" s="1">
        <f t="shared" si="4"/>
        <v>105</v>
      </c>
      <c r="K20" s="5"/>
      <c r="L20" s="1"/>
      <c r="M20" s="1"/>
    </row>
    <row r="21" spans="1:13" ht="15">
      <c r="A21" t="s">
        <v>5</v>
      </c>
      <c r="C21" s="1">
        <v>88162</v>
      </c>
      <c r="D21" s="1">
        <v>11402</v>
      </c>
      <c r="E21" s="1">
        <v>11675</v>
      </c>
      <c r="F21" s="1">
        <f t="shared" si="1"/>
        <v>102.39431678652868</v>
      </c>
      <c r="G21" s="1">
        <f t="shared" si="2"/>
        <v>0</v>
      </c>
      <c r="H21" s="1">
        <f t="shared" si="0"/>
        <v>0</v>
      </c>
      <c r="I21" s="1">
        <f t="shared" si="3"/>
        <v>0</v>
      </c>
      <c r="J21" s="1">
        <f t="shared" si="4"/>
        <v>102.39431678652868</v>
      </c>
      <c r="K21" s="5">
        <f>I21/C21</f>
        <v>0</v>
      </c>
      <c r="L21" s="1">
        <v>94400</v>
      </c>
      <c r="M21" s="1">
        <f>L21*K21</f>
        <v>0</v>
      </c>
    </row>
    <row r="22" spans="1:13" ht="15">
      <c r="A22" t="s">
        <v>6</v>
      </c>
      <c r="C22" s="1">
        <v>150029</v>
      </c>
      <c r="D22" s="1">
        <v>14115</v>
      </c>
      <c r="E22" s="1">
        <v>13205</v>
      </c>
      <c r="F22" s="1">
        <f t="shared" si="1"/>
        <v>93.55295784626284</v>
      </c>
      <c r="G22" s="1">
        <f t="shared" si="2"/>
        <v>204.25</v>
      </c>
      <c r="H22" s="1">
        <f t="shared" si="0"/>
        <v>378.3744376421348</v>
      </c>
      <c r="I22" s="1">
        <f t="shared" si="3"/>
        <v>582.6244376421348</v>
      </c>
      <c r="J22" s="1">
        <f t="shared" si="4"/>
        <v>97.68065488942355</v>
      </c>
      <c r="K22" s="5">
        <f>I22/C22</f>
        <v>0.0038834121246034753</v>
      </c>
      <c r="L22" s="1">
        <v>154700</v>
      </c>
      <c r="M22" s="1">
        <f>L22*K22</f>
        <v>600.7638556761576</v>
      </c>
    </row>
    <row r="23" spans="1:13" ht="15">
      <c r="A23" t="s">
        <v>7</v>
      </c>
      <c r="C23" s="1">
        <v>5519</v>
      </c>
      <c r="D23" s="1">
        <v>2559</v>
      </c>
      <c r="E23" s="1">
        <v>2330</v>
      </c>
      <c r="F23" s="1">
        <f t="shared" si="1"/>
        <v>91.05119187182493</v>
      </c>
      <c r="G23" s="1">
        <f t="shared" si="2"/>
        <v>101.04999999999973</v>
      </c>
      <c r="H23" s="1">
        <f t="shared" si="0"/>
        <v>68.59795862034878</v>
      </c>
      <c r="I23" s="1">
        <f t="shared" si="3"/>
        <v>169.6479586203485</v>
      </c>
      <c r="J23" s="1">
        <f t="shared" si="4"/>
        <v>97.68065488942355</v>
      </c>
      <c r="K23" s="5">
        <f>I23/C23</f>
        <v>0.03073889447732352</v>
      </c>
      <c r="L23" s="1">
        <v>5000</v>
      </c>
      <c r="M23" s="1">
        <f>L23*K23</f>
        <v>153.6944723866176</v>
      </c>
    </row>
    <row r="24" spans="1:13" ht="15">
      <c r="A24" t="s">
        <v>8</v>
      </c>
      <c r="C24" s="6">
        <v>2416</v>
      </c>
      <c r="D24" s="6">
        <v>391</v>
      </c>
      <c r="E24" s="6">
        <v>407</v>
      </c>
      <c r="F24" s="6">
        <f t="shared" si="1"/>
        <v>104.0920716112532</v>
      </c>
      <c r="G24" s="6">
        <f t="shared" si="2"/>
        <v>0</v>
      </c>
      <c r="H24" s="6">
        <f t="shared" si="0"/>
        <v>0</v>
      </c>
      <c r="I24" s="6">
        <f t="shared" si="3"/>
        <v>0</v>
      </c>
      <c r="J24" s="1">
        <f t="shared" si="4"/>
        <v>104.0920716112532</v>
      </c>
      <c r="K24" s="5">
        <f>I24/C24</f>
        <v>0</v>
      </c>
      <c r="L24" s="6">
        <v>2500</v>
      </c>
      <c r="M24" s="6">
        <f>L24*K24</f>
        <v>0</v>
      </c>
    </row>
    <row r="25" spans="12:13" ht="15">
      <c r="L25" s="1"/>
      <c r="M25" s="1"/>
    </row>
    <row r="26" spans="3:13" ht="15">
      <c r="C26" s="2">
        <f>SUM(C16:C24)</f>
        <v>1208058</v>
      </c>
      <c r="D26" s="2">
        <f>SUM(D16:D24)</f>
        <v>182602</v>
      </c>
      <c r="E26" s="2">
        <f>SUM(E16:E24)</f>
        <v>182571</v>
      </c>
      <c r="F26" s="1">
        <f>100*E26/D26</f>
        <v>99.98302318704067</v>
      </c>
      <c r="G26" s="2">
        <f>SUM(G16:G24)</f>
        <v>-3253.3500000000035</v>
      </c>
      <c r="H26" s="2">
        <f>SUM(H16:H24)</f>
        <v>3253.3500000000035</v>
      </c>
      <c r="I26" s="2">
        <f>SUM(I16:I24)</f>
        <v>-7.958078640513122E-13</v>
      </c>
      <c r="J26" s="2"/>
      <c r="K26" s="2"/>
      <c r="L26" s="2">
        <f>SUM(L16:L24)</f>
        <v>1267000</v>
      </c>
      <c r="M26" s="2">
        <f>SUM(M16:M24)</f>
        <v>451.5115570821275</v>
      </c>
    </row>
    <row r="29" ht="15">
      <c r="B29" t="s">
        <v>35</v>
      </c>
    </row>
    <row r="30" ht="15">
      <c r="B30" t="s">
        <v>75</v>
      </c>
    </row>
    <row r="32" ht="15">
      <c r="H32" s="1"/>
    </row>
    <row r="35" spans="1:7" ht="15">
      <c r="A35" t="s">
        <v>40</v>
      </c>
      <c r="G35" s="4" t="s">
        <v>45</v>
      </c>
    </row>
    <row r="36" spans="1:7" ht="15">
      <c r="A36" t="s">
        <v>74</v>
      </c>
      <c r="G36" s="4" t="s">
        <v>43</v>
      </c>
    </row>
    <row r="37" ht="15">
      <c r="G37" s="4" t="s">
        <v>59</v>
      </c>
    </row>
    <row r="38" ht="15">
      <c r="C38" s="4"/>
    </row>
    <row r="39" ht="15">
      <c r="C39" s="4" t="s">
        <v>21</v>
      </c>
    </row>
    <row r="40" ht="15">
      <c r="C40" s="4" t="s">
        <v>27</v>
      </c>
    </row>
    <row r="41" spans="3:8" ht="15">
      <c r="C41" s="4" t="s">
        <v>28</v>
      </c>
      <c r="E41" s="7" t="s">
        <v>32</v>
      </c>
      <c r="H41" s="7" t="s">
        <v>32</v>
      </c>
    </row>
    <row r="42" spans="3:9" ht="15">
      <c r="C42" s="4" t="s">
        <v>20</v>
      </c>
      <c r="E42" s="3" t="s">
        <v>33</v>
      </c>
      <c r="F42" s="3"/>
      <c r="H42" s="3" t="s">
        <v>53</v>
      </c>
      <c r="I42" s="3"/>
    </row>
    <row r="43" spans="3:9" ht="15">
      <c r="C43" s="4" t="s">
        <v>44</v>
      </c>
      <c r="E43" s="4" t="s">
        <v>29</v>
      </c>
      <c r="F43" s="4" t="s">
        <v>31</v>
      </c>
      <c r="H43" s="4" t="s">
        <v>29</v>
      </c>
      <c r="I43" s="4" t="s">
        <v>31</v>
      </c>
    </row>
    <row r="44" spans="3:9" ht="15">
      <c r="C44" s="4" t="s">
        <v>51</v>
      </c>
      <c r="E44" s="4" t="s">
        <v>30</v>
      </c>
      <c r="F44" s="4" t="s">
        <v>30</v>
      </c>
      <c r="H44" s="4" t="s">
        <v>30</v>
      </c>
      <c r="I44" s="4" t="s">
        <v>30</v>
      </c>
    </row>
    <row r="45" spans="3:9" ht="15.75" thickBot="1">
      <c r="C45" s="8" t="s">
        <v>26</v>
      </c>
      <c r="E45" s="8" t="s">
        <v>26</v>
      </c>
      <c r="F45" s="8" t="s">
        <v>26</v>
      </c>
      <c r="H45" s="8" t="s">
        <v>26</v>
      </c>
      <c r="I45" s="8" t="s">
        <v>26</v>
      </c>
    </row>
    <row r="46" ht="15">
      <c r="N46" s="1">
        <f aca="true" t="shared" si="5" ref="N46:N54">IF(G$26&lt;0,IF(F16&lt;100,D16,0),IF(F16&gt;0,D16,0))</f>
        <v>91806</v>
      </c>
    </row>
    <row r="47" spans="1:14" ht="15">
      <c r="A47" t="s">
        <v>0</v>
      </c>
      <c r="C47" s="9">
        <f>K16</f>
        <v>0.012560315007499845</v>
      </c>
      <c r="E47" s="5">
        <v>0.1456</v>
      </c>
      <c r="F47" s="5">
        <v>0.1155</v>
      </c>
      <c r="H47" s="5">
        <f>E47+C47</f>
        <v>0.15816031500749986</v>
      </c>
      <c r="I47" s="5">
        <f>F47+C47</f>
        <v>0.12806031500749984</v>
      </c>
      <c r="N47" s="1">
        <f t="shared" si="5"/>
        <v>4512</v>
      </c>
    </row>
    <row r="48" spans="1:14" ht="15">
      <c r="A48" t="s">
        <v>1</v>
      </c>
      <c r="E48" s="5"/>
      <c r="F48" s="5"/>
      <c r="H48" s="5"/>
      <c r="I48" s="5"/>
      <c r="N48" s="1">
        <f t="shared" si="5"/>
        <v>8372</v>
      </c>
    </row>
    <row r="49" spans="1:14" ht="15">
      <c r="A49" t="s">
        <v>2</v>
      </c>
      <c r="E49" s="5"/>
      <c r="F49" s="5"/>
      <c r="H49" s="5"/>
      <c r="I49" s="5"/>
      <c r="N49" s="1">
        <f t="shared" si="5"/>
        <v>0</v>
      </c>
    </row>
    <row r="50" spans="1:14" ht="15">
      <c r="A50" t="s">
        <v>3</v>
      </c>
      <c r="C50" s="9">
        <f>K19</f>
        <v>-0.020782997937222995</v>
      </c>
      <c r="E50" s="5">
        <v>0.1793</v>
      </c>
      <c r="F50" s="5">
        <v>0.1167</v>
      </c>
      <c r="H50" s="5">
        <f>E50+C50</f>
        <v>0.158517002062777</v>
      </c>
      <c r="I50" s="5">
        <f>F50+C50</f>
        <v>0.09591700206277701</v>
      </c>
      <c r="N50" s="1">
        <f t="shared" si="5"/>
        <v>0</v>
      </c>
    </row>
    <row r="51" spans="1:14" ht="15">
      <c r="A51" t="s">
        <v>4</v>
      </c>
      <c r="E51" s="5"/>
      <c r="F51" s="5"/>
      <c r="H51" s="5"/>
      <c r="I51" s="5"/>
      <c r="N51" s="1">
        <f t="shared" si="5"/>
        <v>0</v>
      </c>
    </row>
    <row r="52" spans="1:14" ht="15">
      <c r="A52" t="s">
        <v>5</v>
      </c>
      <c r="C52" s="9">
        <f>K21</f>
        <v>0</v>
      </c>
      <c r="E52" s="5">
        <v>0.1756</v>
      </c>
      <c r="F52" s="5">
        <v>0.0879</v>
      </c>
      <c r="H52" s="5">
        <f>E52+C52</f>
        <v>0.1756</v>
      </c>
      <c r="I52" s="5">
        <f>F52+C52</f>
        <v>0.0879</v>
      </c>
      <c r="N52" s="1">
        <f t="shared" si="5"/>
        <v>14115</v>
      </c>
    </row>
    <row r="53" spans="1:14" ht="15">
      <c r="A53" t="s">
        <v>6</v>
      </c>
      <c r="C53" s="9">
        <f>K22</f>
        <v>0.0038834121246034753</v>
      </c>
      <c r="E53" s="5">
        <v>0.0723</v>
      </c>
      <c r="F53" s="5"/>
      <c r="H53" s="5">
        <f>E53+C53</f>
        <v>0.07618341212460347</v>
      </c>
      <c r="I53" s="5"/>
      <c r="N53" s="1">
        <f t="shared" si="5"/>
        <v>2559</v>
      </c>
    </row>
    <row r="54" spans="1:14" ht="15">
      <c r="A54" t="s">
        <v>7</v>
      </c>
      <c r="C54" s="9">
        <f>K23</f>
        <v>0.03073889447732352</v>
      </c>
      <c r="E54" s="5"/>
      <c r="F54" s="5"/>
      <c r="H54" s="5"/>
      <c r="I54" s="5"/>
      <c r="N54" s="6">
        <f t="shared" si="5"/>
        <v>0</v>
      </c>
    </row>
    <row r="55" spans="1:14" ht="15">
      <c r="A55" t="s">
        <v>8</v>
      </c>
      <c r="C55" s="9">
        <f>K24</f>
        <v>0</v>
      </c>
      <c r="E55" s="5">
        <v>0.1757</v>
      </c>
      <c r="F55" s="5"/>
      <c r="H55" s="5">
        <f>E55+C55</f>
        <v>0.1757</v>
      </c>
      <c r="I55" s="5"/>
      <c r="N55" s="2">
        <f>SUM(N46:N53)</f>
        <v>121364</v>
      </c>
    </row>
    <row r="56" ht="15">
      <c r="N56" s="2"/>
    </row>
    <row r="58" ht="15">
      <c r="B58" t="s">
        <v>35</v>
      </c>
    </row>
    <row r="59" ht="15">
      <c r="B59" t="s">
        <v>75</v>
      </c>
    </row>
  </sheetData>
  <sheetProtection/>
  <printOptions/>
  <pageMargins left="0.5" right="0.5" top="0.75" bottom="0.75" header="0.3" footer="0.3"/>
  <pageSetup horizontalDpi="600" verticalDpi="600" orientation="landscape" scale="9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I54" sqref="I54"/>
    </sheetView>
  </sheetViews>
  <sheetFormatPr defaultColWidth="9.140625" defaultRowHeight="15"/>
  <cols>
    <col min="1" max="13" width="10.7109375" style="0" customWidth="1"/>
    <col min="14" max="14" width="10.7109375" style="0" hidden="1" customWidth="1"/>
    <col min="15" max="15" width="10.7109375" style="0" customWidth="1"/>
    <col min="16" max="16" width="1.7109375" style="0" customWidth="1"/>
    <col min="17" max="18" width="10.7109375" style="0" customWidth="1"/>
  </cols>
  <sheetData>
    <row r="1" spans="1:10" ht="15">
      <c r="A1" t="s">
        <v>40</v>
      </c>
      <c r="G1" s="4" t="s">
        <v>55</v>
      </c>
      <c r="H1" s="4"/>
      <c r="I1" s="4"/>
      <c r="J1" s="4"/>
    </row>
    <row r="2" spans="1:10" ht="15">
      <c r="A2" t="s">
        <v>74</v>
      </c>
      <c r="G2" s="4" t="s">
        <v>54</v>
      </c>
      <c r="H2" s="4"/>
      <c r="I2" s="4"/>
      <c r="J2" s="4"/>
    </row>
    <row r="3" ht="15">
      <c r="G3" s="4" t="s">
        <v>58</v>
      </c>
    </row>
    <row r="4" ht="15">
      <c r="G4" s="4"/>
    </row>
    <row r="5" spans="3:13" ht="15">
      <c r="C5" s="4" t="s">
        <v>60</v>
      </c>
      <c r="D5" s="4" t="s">
        <v>61</v>
      </c>
      <c r="E5" s="4" t="s">
        <v>62</v>
      </c>
      <c r="F5" s="4" t="s">
        <v>63</v>
      </c>
      <c r="G5" s="4" t="s">
        <v>66</v>
      </c>
      <c r="H5" s="4" t="s">
        <v>64</v>
      </c>
      <c r="I5" s="4" t="s">
        <v>65</v>
      </c>
      <c r="J5" s="4" t="s">
        <v>67</v>
      </c>
      <c r="K5" s="4" t="s">
        <v>68</v>
      </c>
      <c r="L5" s="4" t="s">
        <v>78</v>
      </c>
      <c r="M5" s="4" t="s">
        <v>79</v>
      </c>
    </row>
    <row r="7" spans="6:13" ht="15">
      <c r="F7" s="4" t="s">
        <v>71</v>
      </c>
      <c r="G7" s="4"/>
      <c r="I7" s="4" t="s">
        <v>76</v>
      </c>
      <c r="J7" s="4" t="s">
        <v>105</v>
      </c>
      <c r="K7" s="4" t="s">
        <v>77</v>
      </c>
      <c r="L7" s="4"/>
      <c r="M7" s="4" t="s">
        <v>80</v>
      </c>
    </row>
    <row r="8" spans="7:11" ht="15">
      <c r="G8" s="4" t="s">
        <v>21</v>
      </c>
      <c r="K8" s="4" t="s">
        <v>21</v>
      </c>
    </row>
    <row r="9" spans="7:11" ht="15">
      <c r="G9" s="4" t="s">
        <v>50</v>
      </c>
      <c r="H9" s="4" t="s">
        <v>48</v>
      </c>
      <c r="I9" s="4"/>
      <c r="J9" s="4"/>
      <c r="K9" s="4" t="s">
        <v>27</v>
      </c>
    </row>
    <row r="10" spans="3:13" ht="15">
      <c r="C10" s="3"/>
      <c r="D10" s="3" t="s">
        <v>25</v>
      </c>
      <c r="E10" s="3"/>
      <c r="F10" s="3"/>
      <c r="G10" s="4" t="s">
        <v>11</v>
      </c>
      <c r="H10" s="4" t="s">
        <v>47</v>
      </c>
      <c r="I10" s="4" t="s">
        <v>52</v>
      </c>
      <c r="J10" s="4" t="s">
        <v>39</v>
      </c>
      <c r="K10" s="4" t="s">
        <v>28</v>
      </c>
      <c r="L10" s="4">
        <v>2019</v>
      </c>
      <c r="M10" s="4" t="s">
        <v>39</v>
      </c>
    </row>
    <row r="11" spans="3:13" ht="15">
      <c r="C11" s="4"/>
      <c r="D11" s="4" t="s">
        <v>12</v>
      </c>
      <c r="E11" s="4"/>
      <c r="F11" s="4" t="s">
        <v>14</v>
      </c>
      <c r="G11" s="4" t="s">
        <v>20</v>
      </c>
      <c r="H11" s="4" t="s">
        <v>11</v>
      </c>
      <c r="I11" s="4" t="s">
        <v>38</v>
      </c>
      <c r="J11" s="4" t="s">
        <v>14</v>
      </c>
      <c r="K11" s="4" t="s">
        <v>20</v>
      </c>
      <c r="L11" s="4" t="s">
        <v>37</v>
      </c>
      <c r="M11" s="4">
        <v>2019</v>
      </c>
    </row>
    <row r="12" spans="3:13" ht="15">
      <c r="C12" s="4" t="s">
        <v>24</v>
      </c>
      <c r="D12" s="4" t="s">
        <v>11</v>
      </c>
      <c r="E12" s="4" t="s">
        <v>17</v>
      </c>
      <c r="F12" s="4" t="s">
        <v>15</v>
      </c>
      <c r="G12" s="4" t="s">
        <v>44</v>
      </c>
      <c r="H12" s="4" t="s">
        <v>46</v>
      </c>
      <c r="I12" s="4" t="s">
        <v>50</v>
      </c>
      <c r="J12" s="4" t="s">
        <v>15</v>
      </c>
      <c r="K12" s="4" t="s">
        <v>44</v>
      </c>
      <c r="L12" s="4" t="s">
        <v>36</v>
      </c>
      <c r="M12" s="4" t="s">
        <v>38</v>
      </c>
    </row>
    <row r="13" spans="3:13" ht="15">
      <c r="C13" s="4" t="s">
        <v>23</v>
      </c>
      <c r="D13" s="4" t="s">
        <v>10</v>
      </c>
      <c r="E13" s="4" t="s">
        <v>11</v>
      </c>
      <c r="F13" s="4" t="s">
        <v>13</v>
      </c>
      <c r="G13" s="4" t="s">
        <v>56</v>
      </c>
      <c r="H13" s="4" t="s">
        <v>49</v>
      </c>
      <c r="I13" s="4" t="s">
        <v>11</v>
      </c>
      <c r="J13" s="4" t="s">
        <v>13</v>
      </c>
      <c r="K13" s="4" t="s">
        <v>56</v>
      </c>
      <c r="L13" s="4" t="s">
        <v>23</v>
      </c>
      <c r="M13" s="4" t="s">
        <v>11</v>
      </c>
    </row>
    <row r="14" spans="3:13" ht="15.75" thickBot="1">
      <c r="C14" s="8" t="s">
        <v>22</v>
      </c>
      <c r="D14" s="8" t="s">
        <v>9</v>
      </c>
      <c r="E14" s="8" t="s">
        <v>9</v>
      </c>
      <c r="F14" s="8" t="s">
        <v>16</v>
      </c>
      <c r="G14" s="8" t="s">
        <v>9</v>
      </c>
      <c r="H14" s="8" t="s">
        <v>9</v>
      </c>
      <c r="I14" s="8" t="s">
        <v>9</v>
      </c>
      <c r="J14" s="8" t="s">
        <v>16</v>
      </c>
      <c r="K14" s="8" t="s">
        <v>26</v>
      </c>
      <c r="L14" s="8" t="s">
        <v>22</v>
      </c>
      <c r="M14" s="8" t="s">
        <v>9</v>
      </c>
    </row>
    <row r="16" spans="1:13" ht="15">
      <c r="A16" t="s">
        <v>0</v>
      </c>
      <c r="C16" s="1">
        <v>505169</v>
      </c>
      <c r="D16" s="1">
        <v>91806</v>
      </c>
      <c r="E16" s="1">
        <v>83860</v>
      </c>
      <c r="F16" s="1">
        <f>100*E16/D16</f>
        <v>91.34479227937172</v>
      </c>
      <c r="G16" s="1">
        <f aca="true" t="shared" si="0" ref="G16:G24">IF(F16&lt;90,D16*0.9-E16,IF(F16&gt;110,D16*1.1-E16,0))</f>
        <v>0</v>
      </c>
      <c r="H16" s="1">
        <f aca="true" t="shared" si="1" ref="H16:H24">-G$26*N47/N$56</f>
        <v>3676.8846132296176</v>
      </c>
      <c r="I16" s="1">
        <f>G16+H16</f>
        <v>3676.8846132296176</v>
      </c>
      <c r="J16" s="1">
        <f>100*(E16+I16)/D16</f>
        <v>95.34985144024314</v>
      </c>
      <c r="K16" s="5">
        <f>(I16+I17+I18)/(C16+C17+C18)</f>
        <v>0.008422146491274547</v>
      </c>
      <c r="L16" s="1">
        <v>620700</v>
      </c>
      <c r="M16" s="1">
        <f>L16*K16</f>
        <v>5227.626327134111</v>
      </c>
    </row>
    <row r="17" spans="1:13" ht="15">
      <c r="A17" t="s">
        <v>1</v>
      </c>
      <c r="C17" s="1">
        <v>19523</v>
      </c>
      <c r="D17" s="1">
        <v>4512</v>
      </c>
      <c r="E17" s="1">
        <v>4309</v>
      </c>
      <c r="F17" s="1">
        <f aca="true" t="shared" si="2" ref="F17:F24">100*E17/D17</f>
        <v>95.50088652482269</v>
      </c>
      <c r="G17" s="1">
        <f t="shared" si="0"/>
        <v>0</v>
      </c>
      <c r="H17" s="1">
        <f t="shared" si="1"/>
        <v>180.70826933851853</v>
      </c>
      <c r="I17" s="1">
        <f aca="true" t="shared" si="3" ref="I17:I24">G17+H17</f>
        <v>180.70826933851853</v>
      </c>
      <c r="J17" s="1">
        <f aca="true" t="shared" si="4" ref="J17:J24">100*(E17+I17)/D17</f>
        <v>99.5059456856941</v>
      </c>
      <c r="K17" s="5"/>
      <c r="L17" s="1"/>
      <c r="M17" s="1"/>
    </row>
    <row r="18" spans="1:13" ht="15">
      <c r="A18" t="s">
        <v>2</v>
      </c>
      <c r="C18" s="1">
        <v>52322</v>
      </c>
      <c r="D18" s="1">
        <v>8372</v>
      </c>
      <c r="E18" s="1">
        <v>6868</v>
      </c>
      <c r="F18" s="1">
        <f t="shared" si="2"/>
        <v>82.03535594839943</v>
      </c>
      <c r="G18" s="1">
        <f t="shared" si="0"/>
        <v>666.8000000000002</v>
      </c>
      <c r="H18" s="1">
        <f t="shared" si="1"/>
        <v>335.30355294815547</v>
      </c>
      <c r="I18" s="1">
        <f t="shared" si="3"/>
        <v>1002.1035529481557</v>
      </c>
      <c r="J18" s="1">
        <f t="shared" si="4"/>
        <v>94.00505916087143</v>
      </c>
      <c r="K18" s="5"/>
      <c r="L18" s="1"/>
      <c r="M18" s="1"/>
    </row>
    <row r="19" spans="1:13" ht="15">
      <c r="A19" t="s">
        <v>3</v>
      </c>
      <c r="C19" s="1">
        <v>375639</v>
      </c>
      <c r="D19" s="1">
        <v>47880</v>
      </c>
      <c r="E19" s="1">
        <v>58151</v>
      </c>
      <c r="F19" s="1">
        <f t="shared" si="2"/>
        <v>121.4515455304929</v>
      </c>
      <c r="G19" s="1">
        <f t="shared" si="0"/>
        <v>-5482.999999999993</v>
      </c>
      <c r="H19" s="1">
        <f t="shared" si="1"/>
        <v>0</v>
      </c>
      <c r="I19" s="1">
        <f t="shared" si="3"/>
        <v>-5482.999999999993</v>
      </c>
      <c r="J19" s="1">
        <f t="shared" si="4"/>
        <v>110.00000000000001</v>
      </c>
      <c r="K19" s="5">
        <f>(I19+I20)/(C19+C20)</f>
        <v>-0.014360201393543541</v>
      </c>
      <c r="L19" s="1">
        <v>389700</v>
      </c>
      <c r="M19" s="1">
        <f>L19*K19</f>
        <v>-5596.170483063918</v>
      </c>
    </row>
    <row r="20" spans="1:13" ht="15">
      <c r="A20" t="s">
        <v>4</v>
      </c>
      <c r="C20" s="1">
        <v>9279</v>
      </c>
      <c r="D20" s="1">
        <v>1565</v>
      </c>
      <c r="E20" s="1">
        <v>1766</v>
      </c>
      <c r="F20" s="1">
        <f t="shared" si="2"/>
        <v>112.84345047923323</v>
      </c>
      <c r="G20" s="1">
        <f t="shared" si="0"/>
        <v>-44.49999999999977</v>
      </c>
      <c r="H20" s="1">
        <f t="shared" si="1"/>
        <v>0</v>
      </c>
      <c r="I20" s="1">
        <f t="shared" si="3"/>
        <v>-44.49999999999977</v>
      </c>
      <c r="J20" s="1">
        <f t="shared" si="4"/>
        <v>110.00000000000001</v>
      </c>
      <c r="K20" s="5"/>
      <c r="L20" s="1"/>
      <c r="M20" s="1"/>
    </row>
    <row r="21" spans="1:13" ht="15">
      <c r="A21" t="s">
        <v>5</v>
      </c>
      <c r="C21" s="1">
        <v>88162</v>
      </c>
      <c r="D21" s="1">
        <v>11402</v>
      </c>
      <c r="E21" s="1">
        <v>11675</v>
      </c>
      <c r="F21" s="1">
        <f t="shared" si="2"/>
        <v>102.39431678652868</v>
      </c>
      <c r="G21" s="1">
        <f t="shared" si="0"/>
        <v>0</v>
      </c>
      <c r="H21" s="1">
        <f t="shared" si="1"/>
        <v>0</v>
      </c>
      <c r="I21" s="1">
        <f t="shared" si="3"/>
        <v>0</v>
      </c>
      <c r="J21" s="1">
        <f t="shared" si="4"/>
        <v>102.39431678652868</v>
      </c>
      <c r="K21" s="5">
        <f>I21/C21</f>
        <v>0</v>
      </c>
      <c r="L21" s="1">
        <v>94400</v>
      </c>
      <c r="M21" s="1">
        <f>L21*K21</f>
        <v>0</v>
      </c>
    </row>
    <row r="22" spans="1:13" ht="15">
      <c r="A22" t="s">
        <v>6</v>
      </c>
      <c r="C22" s="1">
        <v>150029</v>
      </c>
      <c r="D22" s="1">
        <v>14115</v>
      </c>
      <c r="E22" s="1">
        <v>13205</v>
      </c>
      <c r="F22" s="1">
        <f t="shared" si="2"/>
        <v>93.55295784626284</v>
      </c>
      <c r="G22" s="1">
        <f t="shared" si="0"/>
        <v>0</v>
      </c>
      <c r="H22" s="1">
        <f t="shared" si="1"/>
        <v>565.3141005570012</v>
      </c>
      <c r="I22" s="1">
        <f t="shared" si="3"/>
        <v>565.3141005570012</v>
      </c>
      <c r="J22" s="1">
        <f t="shared" si="4"/>
        <v>97.55801700713427</v>
      </c>
      <c r="K22" s="5">
        <f>I22/C22</f>
        <v>0.0037680321841577374</v>
      </c>
      <c r="L22" s="1">
        <v>154700</v>
      </c>
      <c r="M22" s="1">
        <f>L22*K22</f>
        <v>582.914578889202</v>
      </c>
    </row>
    <row r="23" spans="1:13" ht="15">
      <c r="A23" t="s">
        <v>7</v>
      </c>
      <c r="C23" s="1">
        <v>5519</v>
      </c>
      <c r="D23" s="1">
        <v>2559</v>
      </c>
      <c r="E23" s="1">
        <v>2330</v>
      </c>
      <c r="F23" s="1">
        <f t="shared" si="2"/>
        <v>91.05119187182493</v>
      </c>
      <c r="G23" s="1">
        <f t="shared" si="0"/>
        <v>0</v>
      </c>
      <c r="H23" s="1">
        <f t="shared" si="1"/>
        <v>102.48946392669968</v>
      </c>
      <c r="I23" s="1">
        <f t="shared" si="3"/>
        <v>102.48946392669968</v>
      </c>
      <c r="J23" s="1">
        <f t="shared" si="4"/>
        <v>95.05625103269635</v>
      </c>
      <c r="K23" s="5">
        <f>I23/C23</f>
        <v>0.018570296054846835</v>
      </c>
      <c r="L23" s="1">
        <v>5000</v>
      </c>
      <c r="M23" s="1">
        <f>L23*K23</f>
        <v>92.85148027423418</v>
      </c>
    </row>
    <row r="24" spans="1:13" ht="15">
      <c r="A24" t="s">
        <v>8</v>
      </c>
      <c r="C24" s="6">
        <v>2416</v>
      </c>
      <c r="D24" s="6">
        <v>391</v>
      </c>
      <c r="E24" s="6">
        <v>407</v>
      </c>
      <c r="F24" s="6">
        <f t="shared" si="2"/>
        <v>104.0920716112532</v>
      </c>
      <c r="G24" s="6">
        <f t="shared" si="0"/>
        <v>0</v>
      </c>
      <c r="H24" s="6">
        <f t="shared" si="1"/>
        <v>0</v>
      </c>
      <c r="I24" s="6">
        <f t="shared" si="3"/>
        <v>0</v>
      </c>
      <c r="J24" s="1">
        <f t="shared" si="4"/>
        <v>104.0920716112532</v>
      </c>
      <c r="K24" s="5">
        <f>I24/C24</f>
        <v>0</v>
      </c>
      <c r="L24" s="6">
        <v>2500</v>
      </c>
      <c r="M24" s="6">
        <f>L24*K24</f>
        <v>0</v>
      </c>
    </row>
    <row r="25" spans="12:13" ht="15">
      <c r="L25" s="1"/>
      <c r="M25" s="1"/>
    </row>
    <row r="26" spans="3:13" ht="15">
      <c r="C26" s="2">
        <f>SUM(C16:C24)</f>
        <v>1208058</v>
      </c>
      <c r="D26" s="2">
        <f>SUM(D16:D24)</f>
        <v>182602</v>
      </c>
      <c r="E26" s="2">
        <f>SUM(E16:E24)</f>
        <v>182571</v>
      </c>
      <c r="F26" s="1">
        <f>100*E26/D26</f>
        <v>99.98302318704067</v>
      </c>
      <c r="G26" s="2">
        <f>SUM(G16:G24)</f>
        <v>-4860.6999999999925</v>
      </c>
      <c r="H26" s="2">
        <f>SUM(H16:H24)</f>
        <v>4860.6999999999925</v>
      </c>
      <c r="I26" s="2">
        <f>SUM(I16:I24)</f>
        <v>1.8474111129762605E-13</v>
      </c>
      <c r="J26" s="2"/>
      <c r="K26" s="2"/>
      <c r="L26" s="2">
        <f>SUM(L16:L24)</f>
        <v>1267000</v>
      </c>
      <c r="M26" s="2">
        <f>SUM(M16:M24)</f>
        <v>307.2219032336292</v>
      </c>
    </row>
    <row r="29" ht="15">
      <c r="B29" t="s">
        <v>35</v>
      </c>
    </row>
    <row r="30" ht="15">
      <c r="B30" t="s">
        <v>75</v>
      </c>
    </row>
    <row r="32" ht="15">
      <c r="H32" s="1"/>
    </row>
    <row r="35" spans="1:7" ht="15">
      <c r="A35" t="s">
        <v>40</v>
      </c>
      <c r="G35" s="4" t="s">
        <v>55</v>
      </c>
    </row>
    <row r="36" spans="1:7" ht="15">
      <c r="A36" t="s">
        <v>74</v>
      </c>
      <c r="G36" s="4" t="s">
        <v>54</v>
      </c>
    </row>
    <row r="37" ht="15">
      <c r="G37" s="4" t="s">
        <v>59</v>
      </c>
    </row>
    <row r="38" ht="15">
      <c r="C38" s="4"/>
    </row>
    <row r="39" ht="15">
      <c r="C39" s="4" t="s">
        <v>21</v>
      </c>
    </row>
    <row r="40" ht="15">
      <c r="C40" s="4" t="s">
        <v>27</v>
      </c>
    </row>
    <row r="41" spans="3:8" ht="15">
      <c r="C41" s="4" t="s">
        <v>28</v>
      </c>
      <c r="E41" s="7" t="s">
        <v>32</v>
      </c>
      <c r="H41" s="7" t="s">
        <v>32</v>
      </c>
    </row>
    <row r="42" spans="3:9" ht="15">
      <c r="C42" s="4" t="s">
        <v>20</v>
      </c>
      <c r="E42" s="3" t="s">
        <v>33</v>
      </c>
      <c r="F42" s="3"/>
      <c r="H42" s="3" t="s">
        <v>57</v>
      </c>
      <c r="I42" s="3"/>
    </row>
    <row r="43" spans="3:9" ht="15">
      <c r="C43" s="4" t="s">
        <v>44</v>
      </c>
      <c r="E43" s="4" t="s">
        <v>29</v>
      </c>
      <c r="F43" s="4" t="s">
        <v>31</v>
      </c>
      <c r="H43" s="4" t="s">
        <v>29</v>
      </c>
      <c r="I43" s="4" t="s">
        <v>31</v>
      </c>
    </row>
    <row r="44" spans="3:9" ht="15">
      <c r="C44" s="4" t="s">
        <v>56</v>
      </c>
      <c r="E44" s="4" t="s">
        <v>30</v>
      </c>
      <c r="F44" s="4" t="s">
        <v>30</v>
      </c>
      <c r="H44" s="4" t="s">
        <v>30</v>
      </c>
      <c r="I44" s="4" t="s">
        <v>30</v>
      </c>
    </row>
    <row r="45" spans="3:9" ht="15.75" thickBot="1">
      <c r="C45" s="8" t="s">
        <v>26</v>
      </c>
      <c r="E45" s="8" t="s">
        <v>26</v>
      </c>
      <c r="F45" s="8" t="s">
        <v>26</v>
      </c>
      <c r="H45" s="8" t="s">
        <v>26</v>
      </c>
      <c r="I45" s="8" t="s">
        <v>26</v>
      </c>
    </row>
    <row r="47" spans="1:14" ht="15">
      <c r="A47" t="s">
        <v>0</v>
      </c>
      <c r="C47" s="9">
        <f>K16</f>
        <v>0.008422146491274547</v>
      </c>
      <c r="E47" s="5">
        <v>0.1456</v>
      </c>
      <c r="F47" s="5">
        <v>0.1155</v>
      </c>
      <c r="H47" s="5">
        <f>E47+C47</f>
        <v>0.15402214649127455</v>
      </c>
      <c r="I47" s="5">
        <f>F47+C47</f>
        <v>0.12392214649127456</v>
      </c>
      <c r="N47" s="1">
        <f aca="true" t="shared" si="5" ref="N47:N55">IF(G$26&lt;0,IF(F16&lt;100,D16,0),IF(F16&gt;0,D16,0))</f>
        <v>91806</v>
      </c>
    </row>
    <row r="48" spans="1:14" ht="15">
      <c r="A48" t="s">
        <v>1</v>
      </c>
      <c r="E48" s="5"/>
      <c r="F48" s="5"/>
      <c r="H48" s="5"/>
      <c r="I48" s="5"/>
      <c r="N48" s="1">
        <f t="shared" si="5"/>
        <v>4512</v>
      </c>
    </row>
    <row r="49" spans="1:14" ht="15">
      <c r="A49" t="s">
        <v>2</v>
      </c>
      <c r="E49" s="5"/>
      <c r="F49" s="5"/>
      <c r="H49" s="5"/>
      <c r="I49" s="5"/>
      <c r="N49" s="1">
        <f t="shared" si="5"/>
        <v>8372</v>
      </c>
    </row>
    <row r="50" spans="1:14" ht="15">
      <c r="A50" t="s">
        <v>3</v>
      </c>
      <c r="C50" s="9">
        <f>K19</f>
        <v>-0.014360201393543541</v>
      </c>
      <c r="E50" s="5">
        <v>0.1793</v>
      </c>
      <c r="F50" s="5">
        <v>0.1167</v>
      </c>
      <c r="H50" s="5">
        <f>E50+C50</f>
        <v>0.16493979860645644</v>
      </c>
      <c r="I50" s="5">
        <f>F50+C50</f>
        <v>0.10233979860645645</v>
      </c>
      <c r="N50" s="1">
        <f t="shared" si="5"/>
        <v>0</v>
      </c>
    </row>
    <row r="51" spans="1:14" ht="15">
      <c r="A51" t="s">
        <v>4</v>
      </c>
      <c r="E51" s="5"/>
      <c r="F51" s="5"/>
      <c r="H51" s="5"/>
      <c r="I51" s="5"/>
      <c r="N51" s="1">
        <f t="shared" si="5"/>
        <v>0</v>
      </c>
    </row>
    <row r="52" spans="1:14" ht="15">
      <c r="A52" t="s">
        <v>5</v>
      </c>
      <c r="C52" s="9">
        <f>K21</f>
        <v>0</v>
      </c>
      <c r="E52" s="5">
        <v>0.1756</v>
      </c>
      <c r="F52" s="5">
        <v>0.0879</v>
      </c>
      <c r="H52" s="5">
        <f>E52+C52</f>
        <v>0.1756</v>
      </c>
      <c r="I52" s="5">
        <f>F52+C52</f>
        <v>0.0879</v>
      </c>
      <c r="N52" s="1">
        <f t="shared" si="5"/>
        <v>0</v>
      </c>
    </row>
    <row r="53" spans="1:14" ht="15">
      <c r="A53" t="s">
        <v>6</v>
      </c>
      <c r="C53" s="9">
        <f>K22</f>
        <v>0.0037680321841577374</v>
      </c>
      <c r="E53" s="5">
        <v>0.0723</v>
      </c>
      <c r="F53" s="5"/>
      <c r="H53" s="5">
        <f>E53+C53</f>
        <v>0.07606803218415774</v>
      </c>
      <c r="I53" s="5"/>
      <c r="N53" s="1">
        <f t="shared" si="5"/>
        <v>14115</v>
      </c>
    </row>
    <row r="54" spans="1:14" ht="15">
      <c r="A54" t="s">
        <v>7</v>
      </c>
      <c r="C54" s="9">
        <f>K23</f>
        <v>0.018570296054846835</v>
      </c>
      <c r="E54" s="5"/>
      <c r="F54" s="5"/>
      <c r="H54" s="5"/>
      <c r="I54" s="5"/>
      <c r="N54" s="1">
        <f t="shared" si="5"/>
        <v>2559</v>
      </c>
    </row>
    <row r="55" spans="1:14" ht="15">
      <c r="A55" t="s">
        <v>8</v>
      </c>
      <c r="C55" s="9">
        <f>K24</f>
        <v>0</v>
      </c>
      <c r="E55" s="5">
        <v>0.1757</v>
      </c>
      <c r="F55" s="5"/>
      <c r="H55" s="5">
        <f>E55+C55</f>
        <v>0.1757</v>
      </c>
      <c r="I55" s="5"/>
      <c r="N55" s="6">
        <f t="shared" si="5"/>
        <v>0</v>
      </c>
    </row>
    <row r="56" ht="15">
      <c r="N56" s="2">
        <f>SUM(N47:N54)</f>
        <v>121364</v>
      </c>
    </row>
    <row r="57" ht="15">
      <c r="L57" s="2"/>
    </row>
    <row r="58" ht="15">
      <c r="B58" t="s">
        <v>35</v>
      </c>
    </row>
    <row r="59" ht="15">
      <c r="B59" t="s">
        <v>75</v>
      </c>
    </row>
  </sheetData>
  <sheetProtection/>
  <printOptions/>
  <pageMargins left="0.5" right="0.5" top="0.75" bottom="0.75" header="0.3" footer="0.3"/>
  <pageSetup horizontalDpi="600" verticalDpi="600" orientation="landscape" scale="90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7">
      <selection activeCell="A31" sqref="A31"/>
    </sheetView>
  </sheetViews>
  <sheetFormatPr defaultColWidth="9.140625" defaultRowHeight="15"/>
  <cols>
    <col min="1" max="8" width="10.7109375" style="0" customWidth="1"/>
    <col min="9" max="9" width="2.7109375" style="0" customWidth="1"/>
    <col min="10" max="14" width="10.7109375" style="0" customWidth="1"/>
  </cols>
  <sheetData>
    <row r="1" spans="1:7" ht="15">
      <c r="A1" t="s">
        <v>40</v>
      </c>
      <c r="G1" s="4" t="s">
        <v>81</v>
      </c>
    </row>
    <row r="2" spans="1:7" ht="15">
      <c r="A2" t="s">
        <v>74</v>
      </c>
      <c r="G2" s="4" t="s">
        <v>92</v>
      </c>
    </row>
    <row r="3" ht="15">
      <c r="G3" s="4" t="s">
        <v>82</v>
      </c>
    </row>
    <row r="4" ht="15">
      <c r="G4" s="4"/>
    </row>
    <row r="5" spans="7:12" ht="15">
      <c r="G5" s="4"/>
      <c r="J5" s="10" t="s">
        <v>95</v>
      </c>
      <c r="L5" s="4"/>
    </row>
    <row r="6" spans="3:12" ht="15">
      <c r="C6" s="4" t="s">
        <v>60</v>
      </c>
      <c r="D6" s="4" t="s">
        <v>61</v>
      </c>
      <c r="E6" s="4" t="s">
        <v>62</v>
      </c>
      <c r="F6" s="4" t="s">
        <v>63</v>
      </c>
      <c r="G6" s="4" t="s">
        <v>66</v>
      </c>
      <c r="J6" s="10" t="s">
        <v>96</v>
      </c>
      <c r="L6" s="4"/>
    </row>
    <row r="7" spans="3:12" ht="15">
      <c r="C7" s="4"/>
      <c r="D7" s="4"/>
      <c r="E7" s="4"/>
      <c r="F7" s="4"/>
      <c r="G7" s="4"/>
      <c r="L7" s="4"/>
    </row>
    <row r="8" spans="3:10" ht="15">
      <c r="C8" s="4"/>
      <c r="F8" s="4" t="s">
        <v>71</v>
      </c>
      <c r="G8" s="4" t="s">
        <v>69</v>
      </c>
      <c r="H8" s="4" t="s">
        <v>86</v>
      </c>
      <c r="J8" s="10" t="s">
        <v>87</v>
      </c>
    </row>
    <row r="9" spans="7:10" ht="15">
      <c r="G9" s="4" t="s">
        <v>21</v>
      </c>
      <c r="H9" s="4" t="s">
        <v>84</v>
      </c>
      <c r="I9" s="4"/>
      <c r="J9" s="10" t="s">
        <v>88</v>
      </c>
    </row>
    <row r="10" spans="7:10" ht="15">
      <c r="G10" s="4" t="s">
        <v>50</v>
      </c>
      <c r="H10" s="4" t="s">
        <v>85</v>
      </c>
      <c r="I10" s="4"/>
      <c r="J10" s="10" t="s">
        <v>91</v>
      </c>
    </row>
    <row r="11" spans="3:10" ht="15">
      <c r="C11" s="3"/>
      <c r="D11" s="3" t="s">
        <v>25</v>
      </c>
      <c r="E11" s="3"/>
      <c r="F11" s="3"/>
      <c r="G11" s="4" t="s">
        <v>11</v>
      </c>
      <c r="H11" s="4" t="s">
        <v>83</v>
      </c>
      <c r="I11" s="4"/>
      <c r="J11" s="10" t="s">
        <v>89</v>
      </c>
    </row>
    <row r="12" spans="3:14" ht="15">
      <c r="C12" s="4"/>
      <c r="D12" s="4" t="s">
        <v>12</v>
      </c>
      <c r="E12" s="4"/>
      <c r="F12" s="4" t="s">
        <v>14</v>
      </c>
      <c r="G12" s="4" t="s">
        <v>20</v>
      </c>
      <c r="H12" s="4" t="s">
        <v>20</v>
      </c>
      <c r="I12" s="4"/>
      <c r="J12" s="15" t="s">
        <v>90</v>
      </c>
      <c r="K12" s="3"/>
      <c r="L12" s="3"/>
      <c r="M12" s="3"/>
      <c r="N12" s="3"/>
    </row>
    <row r="13" spans="3:9" ht="15">
      <c r="C13" s="4" t="s">
        <v>24</v>
      </c>
      <c r="D13" s="4" t="s">
        <v>11</v>
      </c>
      <c r="E13" s="4" t="s">
        <v>17</v>
      </c>
      <c r="F13" s="4" t="s">
        <v>15</v>
      </c>
      <c r="G13" s="4" t="s">
        <v>19</v>
      </c>
      <c r="H13" s="4" t="s">
        <v>19</v>
      </c>
      <c r="I13" s="4"/>
    </row>
    <row r="14" spans="3:14" ht="15">
      <c r="C14" s="4" t="s">
        <v>23</v>
      </c>
      <c r="D14" s="4" t="s">
        <v>10</v>
      </c>
      <c r="E14" s="4" t="s">
        <v>11</v>
      </c>
      <c r="F14" s="4" t="s">
        <v>13</v>
      </c>
      <c r="G14" s="4" t="s">
        <v>18</v>
      </c>
      <c r="H14" s="4" t="s">
        <v>18</v>
      </c>
      <c r="I14" s="4"/>
      <c r="J14" s="18" t="s">
        <v>93</v>
      </c>
      <c r="K14" s="11" t="s">
        <v>94</v>
      </c>
      <c r="L14" s="11" t="s">
        <v>99</v>
      </c>
      <c r="M14" s="17" t="s">
        <v>100</v>
      </c>
      <c r="N14" s="17" t="s">
        <v>101</v>
      </c>
    </row>
    <row r="15" spans="3:14" ht="15.75" thickBot="1">
      <c r="C15" s="8" t="s">
        <v>22</v>
      </c>
      <c r="D15" s="8" t="s">
        <v>9</v>
      </c>
      <c r="E15" s="8" t="s">
        <v>9</v>
      </c>
      <c r="F15" s="8" t="s">
        <v>16</v>
      </c>
      <c r="G15" s="8" t="s">
        <v>9</v>
      </c>
      <c r="H15" s="8" t="s">
        <v>16</v>
      </c>
      <c r="I15" s="8"/>
      <c r="J15" s="8" t="s">
        <v>16</v>
      </c>
      <c r="K15" s="8" t="s">
        <v>16</v>
      </c>
      <c r="L15" s="8" t="s">
        <v>16</v>
      </c>
      <c r="M15" s="8" t="s">
        <v>16</v>
      </c>
      <c r="N15" s="8" t="s">
        <v>16</v>
      </c>
    </row>
    <row r="17" spans="1:14" ht="15">
      <c r="A17" t="s">
        <v>0</v>
      </c>
      <c r="C17" s="1">
        <v>505169</v>
      </c>
      <c r="D17" s="1">
        <v>91806</v>
      </c>
      <c r="E17" s="1">
        <v>83860</v>
      </c>
      <c r="F17" s="1">
        <f>100*E17/D17</f>
        <v>91.34479227937172</v>
      </c>
      <c r="G17" s="1">
        <f>D17-E17</f>
        <v>7946</v>
      </c>
      <c r="H17" s="13">
        <f>100*G17/E17</f>
        <v>9.475316002861913</v>
      </c>
      <c r="I17" s="13"/>
      <c r="J17" s="12">
        <f>100*((1+H17/100)^0.2-1)</f>
        <v>1.827068605930715</v>
      </c>
      <c r="K17" s="16">
        <f>J17</f>
        <v>1.827068605930715</v>
      </c>
      <c r="L17" s="16">
        <f>K17</f>
        <v>1.827068605930715</v>
      </c>
      <c r="M17" s="16">
        <f>L17</f>
        <v>1.827068605930715</v>
      </c>
      <c r="N17" s="16">
        <f>M17</f>
        <v>1.827068605930715</v>
      </c>
    </row>
    <row r="18" spans="1:14" ht="15">
      <c r="A18" t="s">
        <v>1</v>
      </c>
      <c r="C18" s="1">
        <v>19523</v>
      </c>
      <c r="D18" s="1">
        <v>4512</v>
      </c>
      <c r="E18" s="1">
        <v>4309</v>
      </c>
      <c r="F18" s="1">
        <f aca="true" t="shared" si="0" ref="F18:F25">100*E18/D18</f>
        <v>95.50088652482269</v>
      </c>
      <c r="G18" s="1">
        <f aca="true" t="shared" si="1" ref="G18:G25">D18-E18</f>
        <v>203</v>
      </c>
      <c r="H18" s="13">
        <f aca="true" t="shared" si="2" ref="H18:H25">100*G18/E18</f>
        <v>4.711069853794384</v>
      </c>
      <c r="I18" s="13"/>
      <c r="J18" s="12">
        <f aca="true" t="shared" si="3" ref="J18:J25">100*((1+H18/100)^0.2-1)</f>
        <v>0.9249445277494495</v>
      </c>
      <c r="K18" s="16">
        <f aca="true" t="shared" si="4" ref="K18:N25">J18</f>
        <v>0.9249445277494495</v>
      </c>
      <c r="L18" s="16">
        <f t="shared" si="4"/>
        <v>0.9249445277494495</v>
      </c>
      <c r="M18" s="16">
        <f t="shared" si="4"/>
        <v>0.9249445277494495</v>
      </c>
      <c r="N18" s="16">
        <f t="shared" si="4"/>
        <v>0.9249445277494495</v>
      </c>
    </row>
    <row r="19" spans="1:14" ht="15">
      <c r="A19" t="s">
        <v>2</v>
      </c>
      <c r="C19" s="1">
        <v>52322</v>
      </c>
      <c r="D19" s="1">
        <v>8372</v>
      </c>
      <c r="E19" s="1">
        <v>6868</v>
      </c>
      <c r="F19" s="1">
        <f t="shared" si="0"/>
        <v>82.03535594839943</v>
      </c>
      <c r="G19" s="1">
        <f t="shared" si="1"/>
        <v>1504</v>
      </c>
      <c r="H19" s="13">
        <f t="shared" si="2"/>
        <v>21.898660454280723</v>
      </c>
      <c r="I19" s="13"/>
      <c r="J19" s="12">
        <f t="shared" si="3"/>
        <v>4.039866591398145</v>
      </c>
      <c r="K19" s="16">
        <f t="shared" si="4"/>
        <v>4.039866591398145</v>
      </c>
      <c r="L19" s="16">
        <f t="shared" si="4"/>
        <v>4.039866591398145</v>
      </c>
      <c r="M19" s="16">
        <f t="shared" si="4"/>
        <v>4.039866591398145</v>
      </c>
      <c r="N19" s="16">
        <f t="shared" si="4"/>
        <v>4.039866591398145</v>
      </c>
    </row>
    <row r="20" spans="1:14" ht="15">
      <c r="A20" t="s">
        <v>3</v>
      </c>
      <c r="C20" s="1">
        <v>375639</v>
      </c>
      <c r="D20" s="1">
        <v>47880</v>
      </c>
      <c r="E20" s="1">
        <v>58151</v>
      </c>
      <c r="F20" s="1">
        <f t="shared" si="0"/>
        <v>121.4515455304929</v>
      </c>
      <c r="G20" s="1">
        <f t="shared" si="1"/>
        <v>-10271</v>
      </c>
      <c r="H20" s="13">
        <f t="shared" si="2"/>
        <v>-17.6626369279978</v>
      </c>
      <c r="I20" s="13"/>
      <c r="J20" s="12">
        <f t="shared" si="3"/>
        <v>-3.8123330777341313</v>
      </c>
      <c r="K20" s="16">
        <f t="shared" si="4"/>
        <v>-3.8123330777341313</v>
      </c>
      <c r="L20" s="16">
        <f t="shared" si="4"/>
        <v>-3.8123330777341313</v>
      </c>
      <c r="M20" s="16">
        <f t="shared" si="4"/>
        <v>-3.8123330777341313</v>
      </c>
      <c r="N20" s="16">
        <f t="shared" si="4"/>
        <v>-3.8123330777341313</v>
      </c>
    </row>
    <row r="21" spans="1:14" ht="15">
      <c r="A21" t="s">
        <v>4</v>
      </c>
      <c r="C21" s="1">
        <v>9279</v>
      </c>
      <c r="D21" s="1">
        <v>1565</v>
      </c>
      <c r="E21" s="1">
        <v>1766</v>
      </c>
      <c r="F21" s="1">
        <f t="shared" si="0"/>
        <v>112.84345047923323</v>
      </c>
      <c r="G21" s="1">
        <f t="shared" si="1"/>
        <v>-201</v>
      </c>
      <c r="H21" s="13">
        <f t="shared" si="2"/>
        <v>-11.381653454133636</v>
      </c>
      <c r="I21" s="13"/>
      <c r="J21" s="12">
        <f t="shared" si="3"/>
        <v>-2.3876589753590527</v>
      </c>
      <c r="K21" s="16">
        <f t="shared" si="4"/>
        <v>-2.3876589753590527</v>
      </c>
      <c r="L21" s="16">
        <f t="shared" si="4"/>
        <v>-2.3876589753590527</v>
      </c>
      <c r="M21" s="16">
        <f t="shared" si="4"/>
        <v>-2.3876589753590527</v>
      </c>
      <c r="N21" s="16">
        <f t="shared" si="4"/>
        <v>-2.3876589753590527</v>
      </c>
    </row>
    <row r="22" spans="1:14" ht="15">
      <c r="A22" t="s">
        <v>5</v>
      </c>
      <c r="C22" s="1">
        <v>88162</v>
      </c>
      <c r="D22" s="1">
        <v>11402</v>
      </c>
      <c r="E22" s="1">
        <v>11675</v>
      </c>
      <c r="F22" s="1">
        <f t="shared" si="0"/>
        <v>102.39431678652868</v>
      </c>
      <c r="G22" s="1">
        <f t="shared" si="1"/>
        <v>-273</v>
      </c>
      <c r="H22" s="13">
        <f t="shared" si="2"/>
        <v>-2.3383297644539613</v>
      </c>
      <c r="I22" s="13"/>
      <c r="J22" s="12">
        <f t="shared" si="3"/>
        <v>-0.47210257481897777</v>
      </c>
      <c r="K22" s="16">
        <f t="shared" si="4"/>
        <v>-0.47210257481897777</v>
      </c>
      <c r="L22" s="16">
        <f t="shared" si="4"/>
        <v>-0.47210257481897777</v>
      </c>
      <c r="M22" s="16">
        <f t="shared" si="4"/>
        <v>-0.47210257481897777</v>
      </c>
      <c r="N22" s="16">
        <f t="shared" si="4"/>
        <v>-0.47210257481897777</v>
      </c>
    </row>
    <row r="23" spans="1:14" ht="15">
      <c r="A23" t="s">
        <v>6</v>
      </c>
      <c r="C23" s="1">
        <v>150029</v>
      </c>
      <c r="D23" s="1">
        <v>14115</v>
      </c>
      <c r="E23" s="1">
        <v>13205</v>
      </c>
      <c r="F23" s="1">
        <f t="shared" si="0"/>
        <v>93.55295784626284</v>
      </c>
      <c r="G23" s="1">
        <f t="shared" si="1"/>
        <v>910</v>
      </c>
      <c r="H23" s="13">
        <f t="shared" si="2"/>
        <v>6.891329042029534</v>
      </c>
      <c r="I23" s="13"/>
      <c r="J23" s="12">
        <f t="shared" si="3"/>
        <v>1.341772364094762</v>
      </c>
      <c r="K23" s="16">
        <f t="shared" si="4"/>
        <v>1.341772364094762</v>
      </c>
      <c r="L23" s="16">
        <f t="shared" si="4"/>
        <v>1.341772364094762</v>
      </c>
      <c r="M23" s="16">
        <f t="shared" si="4"/>
        <v>1.341772364094762</v>
      </c>
      <c r="N23" s="16">
        <f t="shared" si="4"/>
        <v>1.341772364094762</v>
      </c>
    </row>
    <row r="24" spans="1:14" ht="15">
      <c r="A24" t="s">
        <v>7</v>
      </c>
      <c r="C24" s="1">
        <v>5519</v>
      </c>
      <c r="D24" s="1">
        <v>2559</v>
      </c>
      <c r="E24" s="1">
        <v>2330</v>
      </c>
      <c r="F24" s="1">
        <f t="shared" si="0"/>
        <v>91.05119187182493</v>
      </c>
      <c r="G24" s="1">
        <f t="shared" si="1"/>
        <v>229</v>
      </c>
      <c r="H24" s="13">
        <f t="shared" si="2"/>
        <v>9.82832618025751</v>
      </c>
      <c r="I24" s="13"/>
      <c r="J24" s="12">
        <f t="shared" si="3"/>
        <v>1.8926536497585689</v>
      </c>
      <c r="K24" s="16">
        <f t="shared" si="4"/>
        <v>1.8926536497585689</v>
      </c>
      <c r="L24" s="16">
        <f t="shared" si="4"/>
        <v>1.8926536497585689</v>
      </c>
      <c r="M24" s="16">
        <f t="shared" si="4"/>
        <v>1.8926536497585689</v>
      </c>
      <c r="N24" s="16">
        <f t="shared" si="4"/>
        <v>1.8926536497585689</v>
      </c>
    </row>
    <row r="25" spans="1:14" ht="15">
      <c r="A25" t="s">
        <v>8</v>
      </c>
      <c r="C25" s="6">
        <v>2416</v>
      </c>
      <c r="D25" s="6">
        <v>391</v>
      </c>
      <c r="E25" s="6">
        <v>407</v>
      </c>
      <c r="F25" s="6">
        <f t="shared" si="0"/>
        <v>104.0920716112532</v>
      </c>
      <c r="G25" s="6">
        <f t="shared" si="1"/>
        <v>-16</v>
      </c>
      <c r="H25" s="13">
        <f t="shared" si="2"/>
        <v>-3.9312039312039313</v>
      </c>
      <c r="I25" s="13"/>
      <c r="J25" s="12">
        <f t="shared" si="3"/>
        <v>-0.7989041706502276</v>
      </c>
      <c r="K25" s="16">
        <f t="shared" si="4"/>
        <v>-0.7989041706502276</v>
      </c>
      <c r="L25" s="16">
        <f t="shared" si="4"/>
        <v>-0.7989041706502276</v>
      </c>
      <c r="M25" s="16">
        <f t="shared" si="4"/>
        <v>-0.7989041706502276</v>
      </c>
      <c r="N25" s="16">
        <f t="shared" si="4"/>
        <v>-0.7989041706502276</v>
      </c>
    </row>
    <row r="27" spans="3:7" ht="15">
      <c r="C27" s="2">
        <f>SUM(C17:C25)</f>
        <v>1208058</v>
      </c>
      <c r="D27" s="2">
        <f>SUM(D17:D25)</f>
        <v>182602</v>
      </c>
      <c r="E27" s="2">
        <f>SUM(E17:E25)</f>
        <v>182571</v>
      </c>
      <c r="F27" s="1">
        <f>100*E27/D27</f>
        <v>99.98302318704067</v>
      </c>
      <c r="G27" s="2">
        <f>SUM(G17:G25)</f>
        <v>31</v>
      </c>
    </row>
    <row r="31" spans="1:7" ht="15">
      <c r="A31" t="s">
        <v>40</v>
      </c>
      <c r="G31" s="4" t="s">
        <v>81</v>
      </c>
    </row>
    <row r="32" spans="1:7" ht="15">
      <c r="A32" t="s">
        <v>74</v>
      </c>
      <c r="G32" s="4" t="s">
        <v>92</v>
      </c>
    </row>
    <row r="33" ht="15">
      <c r="G33" s="4" t="s">
        <v>97</v>
      </c>
    </row>
    <row r="34" ht="15">
      <c r="G34" s="4"/>
    </row>
    <row r="35" spans="7:12" ht="15">
      <c r="G35" s="4"/>
      <c r="J35" s="10" t="s">
        <v>95</v>
      </c>
      <c r="L35" s="4"/>
    </row>
    <row r="36" spans="3:12" ht="15">
      <c r="C36" s="4" t="s">
        <v>60</v>
      </c>
      <c r="D36" s="4" t="s">
        <v>61</v>
      </c>
      <c r="E36" s="4" t="s">
        <v>62</v>
      </c>
      <c r="F36" s="4" t="s">
        <v>63</v>
      </c>
      <c r="G36" s="4" t="s">
        <v>66</v>
      </c>
      <c r="J36" s="10" t="s">
        <v>98</v>
      </c>
      <c r="L36" s="4"/>
    </row>
    <row r="37" spans="3:12" ht="15">
      <c r="C37" s="4"/>
      <c r="D37" s="4"/>
      <c r="E37" s="4"/>
      <c r="F37" s="4"/>
      <c r="G37" s="4"/>
      <c r="L37" s="4"/>
    </row>
    <row r="38" spans="3:10" ht="15">
      <c r="C38" s="4"/>
      <c r="F38" s="4" t="s">
        <v>71</v>
      </c>
      <c r="G38" s="4" t="s">
        <v>69</v>
      </c>
      <c r="H38" s="4" t="s">
        <v>86</v>
      </c>
      <c r="J38" s="10" t="s">
        <v>87</v>
      </c>
    </row>
    <row r="39" spans="7:10" ht="15">
      <c r="G39" s="4" t="s">
        <v>21</v>
      </c>
      <c r="H39" s="4" t="s">
        <v>84</v>
      </c>
      <c r="I39" s="4"/>
      <c r="J39" s="10" t="s">
        <v>88</v>
      </c>
    </row>
    <row r="40" spans="7:10" ht="15">
      <c r="G40" s="4" t="s">
        <v>50</v>
      </c>
      <c r="H40" s="4" t="s">
        <v>85</v>
      </c>
      <c r="I40" s="4"/>
      <c r="J40" s="10" t="s">
        <v>91</v>
      </c>
    </row>
    <row r="41" spans="3:10" ht="15">
      <c r="C41" s="3"/>
      <c r="D41" s="3" t="s">
        <v>25</v>
      </c>
      <c r="E41" s="3"/>
      <c r="F41" s="3"/>
      <c r="G41" s="4" t="s">
        <v>11</v>
      </c>
      <c r="H41" s="4" t="s">
        <v>83</v>
      </c>
      <c r="I41" s="4"/>
      <c r="J41" s="10" t="s">
        <v>89</v>
      </c>
    </row>
    <row r="42" spans="3:13" ht="15">
      <c r="C42" s="4"/>
      <c r="D42" s="4" t="s">
        <v>12</v>
      </c>
      <c r="E42" s="4"/>
      <c r="F42" s="4" t="s">
        <v>14</v>
      </c>
      <c r="G42" s="4" t="s">
        <v>20</v>
      </c>
      <c r="H42" s="4" t="s">
        <v>20</v>
      </c>
      <c r="I42" s="4"/>
      <c r="J42" s="15" t="s">
        <v>90</v>
      </c>
      <c r="K42" s="3"/>
      <c r="L42" s="3"/>
      <c r="M42" s="3"/>
    </row>
    <row r="43" spans="3:9" ht="15">
      <c r="C43" s="4" t="s">
        <v>24</v>
      </c>
      <c r="D43" s="4" t="s">
        <v>11</v>
      </c>
      <c r="E43" s="4" t="s">
        <v>17</v>
      </c>
      <c r="F43" s="4" t="s">
        <v>15</v>
      </c>
      <c r="G43" s="4" t="s">
        <v>19</v>
      </c>
      <c r="H43" s="4" t="s">
        <v>19</v>
      </c>
      <c r="I43" s="4"/>
    </row>
    <row r="44" spans="3:13" ht="15">
      <c r="C44" s="4" t="s">
        <v>23</v>
      </c>
      <c r="D44" s="4" t="s">
        <v>10</v>
      </c>
      <c r="E44" s="4" t="s">
        <v>11</v>
      </c>
      <c r="F44" s="4" t="s">
        <v>13</v>
      </c>
      <c r="G44" s="4" t="s">
        <v>18</v>
      </c>
      <c r="H44" s="4" t="s">
        <v>18</v>
      </c>
      <c r="I44" s="4"/>
      <c r="J44" s="18" t="s">
        <v>93</v>
      </c>
      <c r="K44" s="11" t="s">
        <v>94</v>
      </c>
      <c r="L44" s="11" t="s">
        <v>99</v>
      </c>
      <c r="M44" s="17" t="s">
        <v>100</v>
      </c>
    </row>
    <row r="45" spans="3:13" ht="15.75" thickBot="1">
      <c r="C45" s="8" t="s">
        <v>22</v>
      </c>
      <c r="D45" s="8" t="s">
        <v>9</v>
      </c>
      <c r="E45" s="8" t="s">
        <v>9</v>
      </c>
      <c r="F45" s="8" t="s">
        <v>16</v>
      </c>
      <c r="G45" s="8" t="s">
        <v>9</v>
      </c>
      <c r="H45" s="8" t="s">
        <v>16</v>
      </c>
      <c r="I45" s="8"/>
      <c r="J45" s="8" t="s">
        <v>16</v>
      </c>
      <c r="K45" s="8" t="s">
        <v>16</v>
      </c>
      <c r="L45" s="8" t="s">
        <v>16</v>
      </c>
      <c r="M45" s="8" t="s">
        <v>16</v>
      </c>
    </row>
    <row r="47" spans="1:13" ht="15">
      <c r="A47" t="s">
        <v>0</v>
      </c>
      <c r="C47" s="1">
        <v>505169</v>
      </c>
      <c r="D47" s="1">
        <v>91806</v>
      </c>
      <c r="E47" s="1">
        <v>83860</v>
      </c>
      <c r="F47" s="1">
        <f>100*E47/D47</f>
        <v>91.34479227937172</v>
      </c>
      <c r="G47" s="1">
        <f>D47-E47</f>
        <v>7946</v>
      </c>
      <c r="H47" s="13">
        <f>100*G47/E47</f>
        <v>9.475316002861913</v>
      </c>
      <c r="I47" s="13"/>
      <c r="J47" s="12">
        <f>100*((1+H47/100)^0.25-1)</f>
        <v>2.289028027183626</v>
      </c>
      <c r="K47" s="16">
        <f>J47</f>
        <v>2.289028027183626</v>
      </c>
      <c r="L47" s="16">
        <f>K47</f>
        <v>2.289028027183626</v>
      </c>
      <c r="M47" s="16">
        <f>L47</f>
        <v>2.289028027183626</v>
      </c>
    </row>
    <row r="48" spans="1:13" ht="15">
      <c r="A48" t="s">
        <v>1</v>
      </c>
      <c r="C48" s="1">
        <v>19523</v>
      </c>
      <c r="D48" s="1">
        <v>4512</v>
      </c>
      <c r="E48" s="1">
        <v>4309</v>
      </c>
      <c r="F48" s="1">
        <f aca="true" t="shared" si="5" ref="F48:F55">100*E48/D48</f>
        <v>95.50088652482269</v>
      </c>
      <c r="G48" s="1">
        <f aca="true" t="shared" si="6" ref="G48:G55">D48-E48</f>
        <v>203</v>
      </c>
      <c r="H48" s="13">
        <f aca="true" t="shared" si="7" ref="H48:H55">100*G48/E48</f>
        <v>4.711069853794384</v>
      </c>
      <c r="I48" s="13"/>
      <c r="J48" s="12">
        <f aca="true" t="shared" si="8" ref="J48:J55">100*((1+H48/100)^0.25-1)</f>
        <v>1.1575143347921646</v>
      </c>
      <c r="K48" s="16">
        <f>J48</f>
        <v>1.1575143347921646</v>
      </c>
      <c r="L48" s="16">
        <f>K48</f>
        <v>1.1575143347921646</v>
      </c>
      <c r="M48" s="16">
        <f>L48</f>
        <v>1.1575143347921646</v>
      </c>
    </row>
    <row r="49" spans="1:13" ht="15">
      <c r="A49" t="s">
        <v>2</v>
      </c>
      <c r="C49" s="1">
        <v>52322</v>
      </c>
      <c r="D49" s="1">
        <v>8372</v>
      </c>
      <c r="E49" s="1">
        <v>6868</v>
      </c>
      <c r="F49" s="1">
        <f t="shared" si="5"/>
        <v>82.03535594839943</v>
      </c>
      <c r="G49" s="1">
        <f t="shared" si="6"/>
        <v>1504</v>
      </c>
      <c r="H49" s="13">
        <f t="shared" si="7"/>
        <v>21.898660454280723</v>
      </c>
      <c r="I49" s="13"/>
      <c r="J49" s="12">
        <f t="shared" si="8"/>
        <v>5.075080958641909</v>
      </c>
      <c r="K49" s="16">
        <f>J49</f>
        <v>5.075080958641909</v>
      </c>
      <c r="L49" s="16">
        <f>K49</f>
        <v>5.075080958641909</v>
      </c>
      <c r="M49" s="16">
        <f>L49</f>
        <v>5.075080958641909</v>
      </c>
    </row>
    <row r="50" spans="1:13" ht="15">
      <c r="A50" t="s">
        <v>3</v>
      </c>
      <c r="C50" s="1">
        <v>375639</v>
      </c>
      <c r="D50" s="1">
        <v>47880</v>
      </c>
      <c r="E50" s="1">
        <v>58151</v>
      </c>
      <c r="F50" s="1">
        <f t="shared" si="5"/>
        <v>121.4515455304929</v>
      </c>
      <c r="G50" s="1">
        <f t="shared" si="6"/>
        <v>-10271</v>
      </c>
      <c r="H50" s="13">
        <f t="shared" si="7"/>
        <v>-17.6626369279978</v>
      </c>
      <c r="I50" s="13"/>
      <c r="J50" s="12">
        <f t="shared" si="8"/>
        <v>-4.7424870291905785</v>
      </c>
      <c r="K50" s="16">
        <f>J50</f>
        <v>-4.7424870291905785</v>
      </c>
      <c r="L50" s="16">
        <f>K50</f>
        <v>-4.7424870291905785</v>
      </c>
      <c r="M50" s="16">
        <f>L50</f>
        <v>-4.7424870291905785</v>
      </c>
    </row>
    <row r="51" spans="1:13" ht="15">
      <c r="A51" t="s">
        <v>4</v>
      </c>
      <c r="C51" s="1">
        <v>9279</v>
      </c>
      <c r="D51" s="1">
        <v>1565</v>
      </c>
      <c r="E51" s="1">
        <v>1766</v>
      </c>
      <c r="F51" s="1">
        <f t="shared" si="5"/>
        <v>112.84345047923323</v>
      </c>
      <c r="G51" s="1">
        <f t="shared" si="6"/>
        <v>-201</v>
      </c>
      <c r="H51" s="13">
        <f t="shared" si="7"/>
        <v>-11.381653454133636</v>
      </c>
      <c r="I51" s="13"/>
      <c r="J51" s="12">
        <f t="shared" si="8"/>
        <v>-2.975612304824571</v>
      </c>
      <c r="K51" s="16">
        <f>J51</f>
        <v>-2.975612304824571</v>
      </c>
      <c r="L51" s="16">
        <f>K51</f>
        <v>-2.975612304824571</v>
      </c>
      <c r="M51" s="16">
        <f>L51</f>
        <v>-2.975612304824571</v>
      </c>
    </row>
    <row r="52" spans="1:13" ht="15">
      <c r="A52" t="s">
        <v>5</v>
      </c>
      <c r="C52" s="1">
        <v>88162</v>
      </c>
      <c r="D52" s="1">
        <v>11402</v>
      </c>
      <c r="E52" s="1">
        <v>11675</v>
      </c>
      <c r="F52" s="1">
        <f t="shared" si="5"/>
        <v>102.39431678652868</v>
      </c>
      <c r="G52" s="1">
        <f t="shared" si="6"/>
        <v>-273</v>
      </c>
      <c r="H52" s="13">
        <f t="shared" si="7"/>
        <v>-2.3383297644539613</v>
      </c>
      <c r="I52" s="13"/>
      <c r="J52" s="12">
        <f t="shared" si="8"/>
        <v>-0.5897795553324037</v>
      </c>
      <c r="K52" s="16">
        <f>J52</f>
        <v>-0.5897795553324037</v>
      </c>
      <c r="L52" s="16">
        <f>K52</f>
        <v>-0.5897795553324037</v>
      </c>
      <c r="M52" s="16">
        <f>L52</f>
        <v>-0.5897795553324037</v>
      </c>
    </row>
    <row r="53" spans="1:13" ht="15">
      <c r="A53" t="s">
        <v>6</v>
      </c>
      <c r="C53" s="1">
        <v>150029</v>
      </c>
      <c r="D53" s="1">
        <v>14115</v>
      </c>
      <c r="E53" s="1">
        <v>13205</v>
      </c>
      <c r="F53" s="1">
        <f t="shared" si="5"/>
        <v>93.55295784626284</v>
      </c>
      <c r="G53" s="1">
        <f t="shared" si="6"/>
        <v>910</v>
      </c>
      <c r="H53" s="13">
        <f t="shared" si="7"/>
        <v>6.891329042029534</v>
      </c>
      <c r="I53" s="13"/>
      <c r="J53" s="12">
        <f t="shared" si="8"/>
        <v>1.6800191256012509</v>
      </c>
      <c r="K53" s="16">
        <f>J53</f>
        <v>1.6800191256012509</v>
      </c>
      <c r="L53" s="16">
        <f>K53</f>
        <v>1.6800191256012509</v>
      </c>
      <c r="M53" s="16">
        <f>L53</f>
        <v>1.6800191256012509</v>
      </c>
    </row>
    <row r="54" spans="1:13" ht="15">
      <c r="A54" t="s">
        <v>7</v>
      </c>
      <c r="C54" s="1">
        <v>5519</v>
      </c>
      <c r="D54" s="1">
        <v>2559</v>
      </c>
      <c r="E54" s="1">
        <v>2330</v>
      </c>
      <c r="F54" s="1">
        <f t="shared" si="5"/>
        <v>91.05119187182493</v>
      </c>
      <c r="G54" s="1">
        <f t="shared" si="6"/>
        <v>229</v>
      </c>
      <c r="H54" s="13">
        <f t="shared" si="7"/>
        <v>9.82832618025751</v>
      </c>
      <c r="I54" s="13"/>
      <c r="J54" s="12">
        <f t="shared" si="8"/>
        <v>2.371387886222065</v>
      </c>
      <c r="K54" s="16">
        <f>J54</f>
        <v>2.371387886222065</v>
      </c>
      <c r="L54" s="16">
        <f>K54</f>
        <v>2.371387886222065</v>
      </c>
      <c r="M54" s="16">
        <f>L54</f>
        <v>2.371387886222065</v>
      </c>
    </row>
    <row r="55" spans="1:13" ht="15">
      <c r="A55" t="s">
        <v>8</v>
      </c>
      <c r="C55" s="6">
        <v>2416</v>
      </c>
      <c r="D55" s="6">
        <v>391</v>
      </c>
      <c r="E55" s="6">
        <v>407</v>
      </c>
      <c r="F55" s="6">
        <f t="shared" si="5"/>
        <v>104.0920716112532</v>
      </c>
      <c r="G55" s="6">
        <f t="shared" si="6"/>
        <v>-16</v>
      </c>
      <c r="H55" s="13">
        <f t="shared" si="7"/>
        <v>-3.9312039312039313</v>
      </c>
      <c r="I55" s="13"/>
      <c r="J55" s="12">
        <f t="shared" si="8"/>
        <v>-0.9976309522248372</v>
      </c>
      <c r="K55" s="16">
        <f>J55</f>
        <v>-0.9976309522248372</v>
      </c>
      <c r="L55" s="16">
        <f>K55</f>
        <v>-0.9976309522248372</v>
      </c>
      <c r="M55" s="16">
        <f>L55</f>
        <v>-0.9976309522248372</v>
      </c>
    </row>
    <row r="57" spans="3:7" ht="15">
      <c r="C57" s="2">
        <f>SUM(C47:C55)</f>
        <v>1208058</v>
      </c>
      <c r="D57" s="2">
        <f>SUM(D47:D55)</f>
        <v>182602</v>
      </c>
      <c r="E57" s="2">
        <f>SUM(E47:E55)</f>
        <v>182571</v>
      </c>
      <c r="F57" s="1">
        <f>100*E57/D57</f>
        <v>99.98302318704067</v>
      </c>
      <c r="G57" s="2">
        <f>SUM(G47:G55)</f>
        <v>31</v>
      </c>
    </row>
  </sheetData>
  <sheetProtection/>
  <printOptions/>
  <pageMargins left="0.5" right="0.5" top="0.75" bottom="0.75" header="0.3" footer="0.3"/>
  <pageSetup horizontalDpi="600" verticalDpi="600" orientation="landscape" scale="90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A31" sqref="A31"/>
    </sheetView>
  </sheetViews>
  <sheetFormatPr defaultColWidth="9.140625" defaultRowHeight="15"/>
  <cols>
    <col min="1" max="11" width="10.7109375" style="0" customWidth="1"/>
    <col min="12" max="12" width="2.7109375" style="0" customWidth="1"/>
    <col min="13" max="17" width="10.7109375" style="0" customWidth="1"/>
  </cols>
  <sheetData>
    <row r="1" spans="1:10" ht="15">
      <c r="A1" t="s">
        <v>40</v>
      </c>
      <c r="G1" s="4" t="s">
        <v>102</v>
      </c>
      <c r="H1" s="4"/>
      <c r="I1" s="4"/>
      <c r="J1" s="4"/>
    </row>
    <row r="2" spans="1:10" ht="15">
      <c r="A2" t="s">
        <v>74</v>
      </c>
      <c r="G2" s="4" t="s">
        <v>103</v>
      </c>
      <c r="H2" s="4"/>
      <c r="I2" s="4"/>
      <c r="J2" s="4"/>
    </row>
    <row r="3" spans="7:10" ht="15">
      <c r="G3" s="4" t="s">
        <v>82</v>
      </c>
      <c r="H3" s="4"/>
      <c r="I3" s="4"/>
      <c r="J3" s="4"/>
    </row>
    <row r="4" spans="7:10" ht="15">
      <c r="G4" s="4"/>
      <c r="H4" s="4"/>
      <c r="I4" s="4"/>
      <c r="J4" s="4"/>
    </row>
    <row r="5" spans="7:15" ht="15">
      <c r="G5" s="4"/>
      <c r="H5" s="4"/>
      <c r="I5" s="4"/>
      <c r="J5" s="4"/>
      <c r="M5" s="10" t="s">
        <v>95</v>
      </c>
      <c r="O5" s="4"/>
    </row>
    <row r="6" spans="3:15" ht="15">
      <c r="C6" s="4" t="s">
        <v>60</v>
      </c>
      <c r="D6" s="4" t="s">
        <v>61</v>
      </c>
      <c r="E6" s="4" t="s">
        <v>62</v>
      </c>
      <c r="F6" s="4" t="s">
        <v>63</v>
      </c>
      <c r="G6" s="4" t="s">
        <v>66</v>
      </c>
      <c r="H6" s="4" t="s">
        <v>64</v>
      </c>
      <c r="I6" s="4" t="s">
        <v>65</v>
      </c>
      <c r="J6" s="4" t="s">
        <v>67</v>
      </c>
      <c r="M6" s="10" t="s">
        <v>104</v>
      </c>
      <c r="O6" s="4"/>
    </row>
    <row r="7" spans="3:15" ht="15">
      <c r="C7" s="4"/>
      <c r="D7" s="4"/>
      <c r="E7" s="4"/>
      <c r="F7" s="4"/>
      <c r="G7" s="4"/>
      <c r="O7" s="4"/>
    </row>
    <row r="8" spans="3:13" ht="15">
      <c r="C8" s="4"/>
      <c r="F8" s="4" t="s">
        <v>71</v>
      </c>
      <c r="G8" s="4"/>
      <c r="I8" s="4" t="s">
        <v>76</v>
      </c>
      <c r="J8" s="4" t="s">
        <v>105</v>
      </c>
      <c r="K8" s="4" t="s">
        <v>106</v>
      </c>
      <c r="M8" s="10" t="s">
        <v>87</v>
      </c>
    </row>
    <row r="9" spans="7:13" ht="15">
      <c r="G9" s="4" t="s">
        <v>21</v>
      </c>
      <c r="K9" s="4" t="s">
        <v>84</v>
      </c>
      <c r="L9" s="4"/>
      <c r="M9" s="10" t="s">
        <v>88</v>
      </c>
    </row>
    <row r="10" spans="7:13" ht="15">
      <c r="G10" s="4" t="s">
        <v>50</v>
      </c>
      <c r="H10" s="4" t="s">
        <v>48</v>
      </c>
      <c r="I10" s="4"/>
      <c r="J10" s="4"/>
      <c r="K10" s="4" t="s">
        <v>85</v>
      </c>
      <c r="L10" s="4"/>
      <c r="M10" s="10" t="s">
        <v>91</v>
      </c>
    </row>
    <row r="11" spans="3:13" ht="15">
      <c r="C11" s="3"/>
      <c r="D11" s="3" t="s">
        <v>25</v>
      </c>
      <c r="E11" s="3"/>
      <c r="F11" s="3"/>
      <c r="G11" s="4" t="s">
        <v>11</v>
      </c>
      <c r="H11" s="4" t="s">
        <v>47</v>
      </c>
      <c r="I11" s="4" t="s">
        <v>52</v>
      </c>
      <c r="J11" s="4" t="s">
        <v>39</v>
      </c>
      <c r="K11" s="4" t="s">
        <v>83</v>
      </c>
      <c r="L11" s="4"/>
      <c r="M11" s="10" t="s">
        <v>89</v>
      </c>
    </row>
    <row r="12" spans="3:17" ht="15">
      <c r="C12" s="4"/>
      <c r="D12" s="4" t="s">
        <v>12</v>
      </c>
      <c r="E12" s="4"/>
      <c r="F12" s="4" t="s">
        <v>14</v>
      </c>
      <c r="G12" s="4" t="s">
        <v>20</v>
      </c>
      <c r="H12" s="4" t="s">
        <v>11</v>
      </c>
      <c r="I12" s="4" t="s">
        <v>38</v>
      </c>
      <c r="J12" s="4" t="s">
        <v>14</v>
      </c>
      <c r="K12" s="4" t="s">
        <v>20</v>
      </c>
      <c r="L12" s="4"/>
      <c r="M12" s="15" t="s">
        <v>90</v>
      </c>
      <c r="N12" s="3"/>
      <c r="O12" s="3"/>
      <c r="P12" s="3"/>
      <c r="Q12" s="3"/>
    </row>
    <row r="13" spans="3:12" ht="15">
      <c r="C13" s="4" t="s">
        <v>24</v>
      </c>
      <c r="D13" s="4" t="s">
        <v>11</v>
      </c>
      <c r="E13" s="4" t="s">
        <v>17</v>
      </c>
      <c r="F13" s="4" t="s">
        <v>15</v>
      </c>
      <c r="G13" s="4" t="s">
        <v>44</v>
      </c>
      <c r="H13" s="4" t="s">
        <v>46</v>
      </c>
      <c r="I13" s="4" t="s">
        <v>50</v>
      </c>
      <c r="J13" s="4" t="s">
        <v>15</v>
      </c>
      <c r="K13" s="4" t="s">
        <v>44</v>
      </c>
      <c r="L13" s="4"/>
    </row>
    <row r="14" spans="3:17" ht="15">
      <c r="C14" s="4" t="s">
        <v>23</v>
      </c>
      <c r="D14" s="4" t="s">
        <v>10</v>
      </c>
      <c r="E14" s="4" t="s">
        <v>11</v>
      </c>
      <c r="F14" s="4" t="s">
        <v>13</v>
      </c>
      <c r="G14" s="4" t="s">
        <v>51</v>
      </c>
      <c r="H14" s="4" t="s">
        <v>49</v>
      </c>
      <c r="I14" s="4" t="s">
        <v>11</v>
      </c>
      <c r="J14" s="4" t="s">
        <v>13</v>
      </c>
      <c r="K14" s="4" t="s">
        <v>51</v>
      </c>
      <c r="L14" s="4"/>
      <c r="M14" s="18" t="s">
        <v>93</v>
      </c>
      <c r="N14" s="11" t="s">
        <v>94</v>
      </c>
      <c r="O14" s="11" t="s">
        <v>99</v>
      </c>
      <c r="P14" s="17" t="s">
        <v>100</v>
      </c>
      <c r="Q14" s="17" t="s">
        <v>101</v>
      </c>
    </row>
    <row r="15" spans="3:17" ht="15.75" thickBot="1">
      <c r="C15" s="8" t="s">
        <v>22</v>
      </c>
      <c r="D15" s="8" t="s">
        <v>9</v>
      </c>
      <c r="E15" s="8" t="s">
        <v>9</v>
      </c>
      <c r="F15" s="8" t="s">
        <v>16</v>
      </c>
      <c r="G15" s="8" t="s">
        <v>9</v>
      </c>
      <c r="H15" s="8" t="s">
        <v>9</v>
      </c>
      <c r="I15" s="8" t="s">
        <v>9</v>
      </c>
      <c r="J15" s="8" t="s">
        <v>16</v>
      </c>
      <c r="K15" s="8" t="s">
        <v>16</v>
      </c>
      <c r="L15" s="8"/>
      <c r="M15" s="8" t="s">
        <v>16</v>
      </c>
      <c r="N15" s="8" t="s">
        <v>16</v>
      </c>
      <c r="O15" s="8" t="s">
        <v>16</v>
      </c>
      <c r="P15" s="8" t="s">
        <v>16</v>
      </c>
      <c r="Q15" s="8" t="s">
        <v>16</v>
      </c>
    </row>
    <row r="17" spans="1:17" ht="15">
      <c r="A17" t="s">
        <v>0</v>
      </c>
      <c r="C17" s="1">
        <v>505169</v>
      </c>
      <c r="D17" s="1">
        <v>91806</v>
      </c>
      <c r="E17" s="1">
        <v>83860</v>
      </c>
      <c r="F17" s="1">
        <f>100*E17/D17</f>
        <v>91.34479227937172</v>
      </c>
      <c r="G17" s="1">
        <f>IF(F17&lt;95,D17*0.95-E17,IF(F17&gt;105,D17*1.05-E17,0))</f>
        <v>3355.699999999997</v>
      </c>
      <c r="H17" s="1">
        <v>2461.002027784189</v>
      </c>
      <c r="I17" s="1">
        <f>G17+H17</f>
        <v>5816.702027784186</v>
      </c>
      <c r="J17" s="1">
        <f>100*(E17+I17)/D17</f>
        <v>97.68065488942354</v>
      </c>
      <c r="K17" s="13">
        <f>100*I17/E17</f>
        <v>6.936205613861419</v>
      </c>
      <c r="L17" s="13"/>
      <c r="M17" s="12">
        <f>100*((1+K17/100)^0.2-1)</f>
        <v>1.3502802717435314</v>
      </c>
      <c r="N17" s="16">
        <f>M17</f>
        <v>1.3502802717435314</v>
      </c>
      <c r="O17" s="16">
        <f>N17</f>
        <v>1.3502802717435314</v>
      </c>
      <c r="P17" s="16">
        <f>O17</f>
        <v>1.3502802717435314</v>
      </c>
      <c r="Q17" s="16">
        <f>P17</f>
        <v>1.3502802717435314</v>
      </c>
    </row>
    <row r="18" spans="1:17" ht="15">
      <c r="A18" t="s">
        <v>1</v>
      </c>
      <c r="C18" s="1">
        <v>19523</v>
      </c>
      <c r="D18" s="1">
        <v>4512</v>
      </c>
      <c r="E18" s="1">
        <v>4309</v>
      </c>
      <c r="F18" s="1">
        <f aca="true" t="shared" si="0" ref="F18:F25">100*E18/D18</f>
        <v>95.50088652482269</v>
      </c>
      <c r="G18" s="1">
        <f aca="true" t="shared" si="1" ref="G18:G25">IF(F18&lt;95,D18*0.95-E18,IF(F18&gt;105,D18*1.05-E18,0))</f>
        <v>0</v>
      </c>
      <c r="H18" s="1">
        <v>120.95114861079081</v>
      </c>
      <c r="I18" s="1">
        <f aca="true" t="shared" si="2" ref="I18:I25">G18+H18</f>
        <v>120.95114861079081</v>
      </c>
      <c r="J18" s="1">
        <f aca="true" t="shared" si="3" ref="J18:J25">100*(E18+I18)/D18</f>
        <v>98.18154141424624</v>
      </c>
      <c r="K18" s="13">
        <f aca="true" t="shared" si="4" ref="K18:K25">100*I18/E18</f>
        <v>2.8069424138034536</v>
      </c>
      <c r="L18" s="13"/>
      <c r="M18" s="12">
        <f aca="true" t="shared" si="5" ref="M18:M25">100*((1+K18/100)^0.2-1)</f>
        <v>0.5551894552212833</v>
      </c>
      <c r="N18" s="16">
        <f aca="true" t="shared" si="6" ref="N18:Q25">M18</f>
        <v>0.5551894552212833</v>
      </c>
      <c r="O18" s="16">
        <f t="shared" si="6"/>
        <v>0.5551894552212833</v>
      </c>
      <c r="P18" s="16">
        <f t="shared" si="6"/>
        <v>0.5551894552212833</v>
      </c>
      <c r="Q18" s="16">
        <f t="shared" si="6"/>
        <v>0.5551894552212833</v>
      </c>
    </row>
    <row r="19" spans="1:17" ht="15">
      <c r="A19" t="s">
        <v>2</v>
      </c>
      <c r="C19" s="1">
        <v>52322</v>
      </c>
      <c r="D19" s="1">
        <v>8372</v>
      </c>
      <c r="E19" s="1">
        <v>6868</v>
      </c>
      <c r="F19" s="1">
        <f t="shared" si="0"/>
        <v>82.03535594839943</v>
      </c>
      <c r="G19" s="1">
        <f t="shared" si="1"/>
        <v>1085.3999999999996</v>
      </c>
      <c r="H19" s="1">
        <v>224.42442734254004</v>
      </c>
      <c r="I19" s="1">
        <f t="shared" si="2"/>
        <v>1309.8244273425396</v>
      </c>
      <c r="J19" s="1">
        <f t="shared" si="3"/>
        <v>97.68065488942355</v>
      </c>
      <c r="K19" s="13">
        <f t="shared" si="4"/>
        <v>19.071409833176173</v>
      </c>
      <c r="L19" s="13"/>
      <c r="M19" s="12">
        <f t="shared" si="5"/>
        <v>3.5527171982133066</v>
      </c>
      <c r="N19" s="16">
        <f t="shared" si="6"/>
        <v>3.5527171982133066</v>
      </c>
      <c r="O19" s="16">
        <f t="shared" si="6"/>
        <v>3.5527171982133066</v>
      </c>
      <c r="P19" s="16">
        <f t="shared" si="6"/>
        <v>3.5527171982133066</v>
      </c>
      <c r="Q19" s="16">
        <f t="shared" si="6"/>
        <v>3.5527171982133066</v>
      </c>
    </row>
    <row r="20" spans="1:17" ht="15">
      <c r="A20" t="s">
        <v>3</v>
      </c>
      <c r="C20" s="1">
        <v>375639</v>
      </c>
      <c r="D20" s="1">
        <v>47880</v>
      </c>
      <c r="E20" s="1">
        <v>58151</v>
      </c>
      <c r="F20" s="1">
        <f t="shared" si="0"/>
        <v>121.4515455304929</v>
      </c>
      <c r="G20" s="1">
        <f t="shared" si="1"/>
        <v>-7877</v>
      </c>
      <c r="H20" s="1">
        <v>0</v>
      </c>
      <c r="I20" s="1">
        <f t="shared" si="2"/>
        <v>-7877</v>
      </c>
      <c r="J20" s="1">
        <f t="shared" si="3"/>
        <v>105</v>
      </c>
      <c r="K20" s="13">
        <f t="shared" si="4"/>
        <v>-13.545768774397688</v>
      </c>
      <c r="L20" s="13"/>
      <c r="M20" s="12">
        <f t="shared" si="5"/>
        <v>-2.869136277209805</v>
      </c>
      <c r="N20" s="16">
        <f t="shared" si="6"/>
        <v>-2.869136277209805</v>
      </c>
      <c r="O20" s="16">
        <f t="shared" si="6"/>
        <v>-2.869136277209805</v>
      </c>
      <c r="P20" s="16">
        <f t="shared" si="6"/>
        <v>-2.869136277209805</v>
      </c>
      <c r="Q20" s="16">
        <f t="shared" si="6"/>
        <v>-2.869136277209805</v>
      </c>
    </row>
    <row r="21" spans="1:17" ht="15">
      <c r="A21" t="s">
        <v>4</v>
      </c>
      <c r="C21" s="1">
        <v>9279</v>
      </c>
      <c r="D21" s="1">
        <v>1565</v>
      </c>
      <c r="E21" s="1">
        <v>1766</v>
      </c>
      <c r="F21" s="1">
        <f t="shared" si="0"/>
        <v>112.84345047923323</v>
      </c>
      <c r="G21" s="1">
        <f t="shared" si="1"/>
        <v>-122.75</v>
      </c>
      <c r="H21" s="1">
        <v>0</v>
      </c>
      <c r="I21" s="1">
        <f t="shared" si="2"/>
        <v>-122.75</v>
      </c>
      <c r="J21" s="1">
        <f t="shared" si="3"/>
        <v>105</v>
      </c>
      <c r="K21" s="13">
        <f t="shared" si="4"/>
        <v>-6.950736126840317</v>
      </c>
      <c r="L21" s="13"/>
      <c r="M21" s="12">
        <f t="shared" si="5"/>
        <v>-1.4304921088361677</v>
      </c>
      <c r="N21" s="16">
        <f t="shared" si="6"/>
        <v>-1.4304921088361677</v>
      </c>
      <c r="O21" s="16">
        <f t="shared" si="6"/>
        <v>-1.4304921088361677</v>
      </c>
      <c r="P21" s="16">
        <f t="shared" si="6"/>
        <v>-1.4304921088361677</v>
      </c>
      <c r="Q21" s="16">
        <f t="shared" si="6"/>
        <v>-1.4304921088361677</v>
      </c>
    </row>
    <row r="22" spans="1:17" ht="15">
      <c r="A22" t="s">
        <v>5</v>
      </c>
      <c r="C22" s="1">
        <v>88162</v>
      </c>
      <c r="D22" s="1">
        <v>11402</v>
      </c>
      <c r="E22" s="1">
        <v>11675</v>
      </c>
      <c r="F22" s="1">
        <f t="shared" si="0"/>
        <v>102.39431678652868</v>
      </c>
      <c r="G22" s="1">
        <f t="shared" si="1"/>
        <v>0</v>
      </c>
      <c r="H22" s="1">
        <v>0</v>
      </c>
      <c r="I22" s="1">
        <f t="shared" si="2"/>
        <v>0</v>
      </c>
      <c r="J22" s="1">
        <f t="shared" si="3"/>
        <v>102.39431678652868</v>
      </c>
      <c r="K22" s="13">
        <f t="shared" si="4"/>
        <v>0</v>
      </c>
      <c r="L22" s="13"/>
      <c r="M22" s="12">
        <f t="shared" si="5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  <c r="Q22" s="16">
        <f t="shared" si="6"/>
        <v>0</v>
      </c>
    </row>
    <row r="23" spans="1:17" ht="15">
      <c r="A23" t="s">
        <v>6</v>
      </c>
      <c r="C23" s="1">
        <v>150029</v>
      </c>
      <c r="D23" s="1">
        <v>14115</v>
      </c>
      <c r="E23" s="1">
        <v>13205</v>
      </c>
      <c r="F23" s="1">
        <f t="shared" si="0"/>
        <v>93.55295784626284</v>
      </c>
      <c r="G23" s="1">
        <f t="shared" si="1"/>
        <v>204.25</v>
      </c>
      <c r="H23" s="1">
        <v>378.3744376421348</v>
      </c>
      <c r="I23" s="1">
        <f t="shared" si="2"/>
        <v>582.6244376421348</v>
      </c>
      <c r="J23" s="1">
        <f t="shared" si="3"/>
        <v>97.68065488942355</v>
      </c>
      <c r="K23" s="13">
        <f t="shared" si="4"/>
        <v>4.412150228263043</v>
      </c>
      <c r="L23" s="13"/>
      <c r="M23" s="12">
        <f t="shared" si="5"/>
        <v>0.8672563489470875</v>
      </c>
      <c r="N23" s="16">
        <f t="shared" si="6"/>
        <v>0.8672563489470875</v>
      </c>
      <c r="O23" s="16">
        <f t="shared" si="6"/>
        <v>0.8672563489470875</v>
      </c>
      <c r="P23" s="16">
        <f t="shared" si="6"/>
        <v>0.8672563489470875</v>
      </c>
      <c r="Q23" s="16">
        <f t="shared" si="6"/>
        <v>0.8672563489470875</v>
      </c>
    </row>
    <row r="24" spans="1:17" ht="15">
      <c r="A24" t="s">
        <v>7</v>
      </c>
      <c r="C24" s="1">
        <v>5519</v>
      </c>
      <c r="D24" s="1">
        <v>2559</v>
      </c>
      <c r="E24" s="1">
        <v>2330</v>
      </c>
      <c r="F24" s="1">
        <f t="shared" si="0"/>
        <v>91.05119187182493</v>
      </c>
      <c r="G24" s="1">
        <f t="shared" si="1"/>
        <v>101.04999999999973</v>
      </c>
      <c r="H24" s="1">
        <v>68.59795862034878</v>
      </c>
      <c r="I24" s="1">
        <f t="shared" si="2"/>
        <v>169.6479586203485</v>
      </c>
      <c r="J24" s="1">
        <f t="shared" si="3"/>
        <v>97.68065488942355</v>
      </c>
      <c r="K24" s="13">
        <f t="shared" si="4"/>
        <v>7.2810282669677475</v>
      </c>
      <c r="L24" s="13"/>
      <c r="M24" s="12">
        <f t="shared" si="5"/>
        <v>1.4155582244980147</v>
      </c>
      <c r="N24" s="16">
        <f t="shared" si="6"/>
        <v>1.4155582244980147</v>
      </c>
      <c r="O24" s="16">
        <f t="shared" si="6"/>
        <v>1.4155582244980147</v>
      </c>
      <c r="P24" s="16">
        <f t="shared" si="6"/>
        <v>1.4155582244980147</v>
      </c>
      <c r="Q24" s="16">
        <f t="shared" si="6"/>
        <v>1.4155582244980147</v>
      </c>
    </row>
    <row r="25" spans="1:17" ht="15">
      <c r="A25" t="s">
        <v>8</v>
      </c>
      <c r="C25" s="6">
        <v>2416</v>
      </c>
      <c r="D25" s="6">
        <v>391</v>
      </c>
      <c r="E25" s="6">
        <v>407</v>
      </c>
      <c r="F25" s="6">
        <f t="shared" si="0"/>
        <v>104.0920716112532</v>
      </c>
      <c r="G25" s="6">
        <f t="shared" si="1"/>
        <v>0</v>
      </c>
      <c r="H25" s="6">
        <v>0</v>
      </c>
      <c r="I25" s="6">
        <f t="shared" si="2"/>
        <v>0</v>
      </c>
      <c r="J25" s="1">
        <f t="shared" si="3"/>
        <v>104.0920716112532</v>
      </c>
      <c r="K25" s="13">
        <f t="shared" si="4"/>
        <v>0</v>
      </c>
      <c r="L25" s="13"/>
      <c r="M25" s="12">
        <f t="shared" si="5"/>
        <v>0</v>
      </c>
      <c r="N25" s="16">
        <f t="shared" si="6"/>
        <v>0</v>
      </c>
      <c r="O25" s="16">
        <f t="shared" si="6"/>
        <v>0</v>
      </c>
      <c r="P25" s="16">
        <f t="shared" si="6"/>
        <v>0</v>
      </c>
      <c r="Q25" s="16">
        <f t="shared" si="6"/>
        <v>0</v>
      </c>
    </row>
    <row r="27" spans="3:10" ht="15">
      <c r="C27" s="2">
        <f>SUM(C17:C25)</f>
        <v>1208058</v>
      </c>
      <c r="D27" s="2">
        <f>SUM(D17:D25)</f>
        <v>182602</v>
      </c>
      <c r="E27" s="2">
        <f>SUM(E17:E25)</f>
        <v>182571</v>
      </c>
      <c r="F27" s="1">
        <f>100*E27/D27</f>
        <v>99.98302318704067</v>
      </c>
      <c r="G27" s="2">
        <f>SUM(G17:G25)</f>
        <v>-3253.3500000000035</v>
      </c>
      <c r="H27" s="2">
        <f>SUM(H17:H25)</f>
        <v>3253.3500000000035</v>
      </c>
      <c r="I27" s="2">
        <f>SUM(I17:I25)</f>
        <v>-7.958078640513122E-13</v>
      </c>
      <c r="J27" s="2"/>
    </row>
    <row r="31" spans="1:10" ht="15">
      <c r="A31" t="s">
        <v>40</v>
      </c>
      <c r="G31" s="4" t="s">
        <v>102</v>
      </c>
      <c r="H31" s="4"/>
      <c r="I31" s="4"/>
      <c r="J31" s="4"/>
    </row>
    <row r="32" spans="1:10" ht="15">
      <c r="A32" t="s">
        <v>74</v>
      </c>
      <c r="G32" s="4" t="s">
        <v>103</v>
      </c>
      <c r="H32" s="4"/>
      <c r="I32" s="4"/>
      <c r="J32" s="4"/>
    </row>
    <row r="33" spans="7:10" ht="15">
      <c r="G33" s="4" t="s">
        <v>97</v>
      </c>
      <c r="H33" s="4"/>
      <c r="I33" s="4"/>
      <c r="J33" s="4"/>
    </row>
    <row r="34" spans="7:10" ht="15">
      <c r="G34" s="4"/>
      <c r="H34" s="4"/>
      <c r="I34" s="4"/>
      <c r="J34" s="4"/>
    </row>
    <row r="35" spans="7:15" ht="15">
      <c r="G35" s="4"/>
      <c r="H35" s="4"/>
      <c r="I35" s="4"/>
      <c r="J35" s="4"/>
      <c r="M35" s="10" t="s">
        <v>95</v>
      </c>
      <c r="O35" s="4"/>
    </row>
    <row r="36" spans="3:15" ht="15">
      <c r="C36" s="4" t="s">
        <v>60</v>
      </c>
      <c r="D36" s="4" t="s">
        <v>61</v>
      </c>
      <c r="E36" s="4" t="s">
        <v>62</v>
      </c>
      <c r="F36" s="4" t="s">
        <v>63</v>
      </c>
      <c r="G36" s="4" t="s">
        <v>66</v>
      </c>
      <c r="H36" s="4" t="s">
        <v>64</v>
      </c>
      <c r="I36" s="4" t="s">
        <v>65</v>
      </c>
      <c r="J36" s="4" t="s">
        <v>67</v>
      </c>
      <c r="M36" s="10" t="s">
        <v>107</v>
      </c>
      <c r="O36" s="4"/>
    </row>
    <row r="37" spans="3:15" ht="15">
      <c r="C37" s="4"/>
      <c r="D37" s="4"/>
      <c r="E37" s="4"/>
      <c r="F37" s="4"/>
      <c r="G37" s="4"/>
      <c r="O37" s="4"/>
    </row>
    <row r="38" spans="3:13" ht="15">
      <c r="C38" s="4"/>
      <c r="F38" s="4" t="s">
        <v>71</v>
      </c>
      <c r="G38" s="4"/>
      <c r="I38" s="4" t="s">
        <v>76</v>
      </c>
      <c r="J38" s="4" t="s">
        <v>105</v>
      </c>
      <c r="K38" s="4" t="s">
        <v>106</v>
      </c>
      <c r="M38" s="10" t="s">
        <v>87</v>
      </c>
    </row>
    <row r="39" spans="7:13" ht="15">
      <c r="G39" s="4" t="s">
        <v>21</v>
      </c>
      <c r="K39" s="4" t="s">
        <v>84</v>
      </c>
      <c r="L39" s="4"/>
      <c r="M39" s="10" t="s">
        <v>88</v>
      </c>
    </row>
    <row r="40" spans="7:13" ht="15">
      <c r="G40" s="4" t="s">
        <v>50</v>
      </c>
      <c r="H40" s="4" t="s">
        <v>48</v>
      </c>
      <c r="I40" s="4"/>
      <c r="J40" s="4"/>
      <c r="K40" s="4" t="s">
        <v>85</v>
      </c>
      <c r="L40" s="4"/>
      <c r="M40" s="10" t="s">
        <v>91</v>
      </c>
    </row>
    <row r="41" spans="3:13" ht="15">
      <c r="C41" s="3"/>
      <c r="D41" s="3" t="s">
        <v>25</v>
      </c>
      <c r="E41" s="3"/>
      <c r="F41" s="3"/>
      <c r="G41" s="4" t="s">
        <v>11</v>
      </c>
      <c r="H41" s="4" t="s">
        <v>47</v>
      </c>
      <c r="I41" s="4" t="s">
        <v>52</v>
      </c>
      <c r="J41" s="4" t="s">
        <v>39</v>
      </c>
      <c r="K41" s="4" t="s">
        <v>83</v>
      </c>
      <c r="L41" s="4"/>
      <c r="M41" s="10" t="s">
        <v>89</v>
      </c>
    </row>
    <row r="42" spans="3:16" ht="15">
      <c r="C42" s="4"/>
      <c r="D42" s="4" t="s">
        <v>12</v>
      </c>
      <c r="E42" s="4"/>
      <c r="F42" s="4" t="s">
        <v>14</v>
      </c>
      <c r="G42" s="4" t="s">
        <v>20</v>
      </c>
      <c r="H42" s="4" t="s">
        <v>11</v>
      </c>
      <c r="I42" s="4" t="s">
        <v>38</v>
      </c>
      <c r="J42" s="4" t="s">
        <v>14</v>
      </c>
      <c r="K42" s="4" t="s">
        <v>20</v>
      </c>
      <c r="L42" s="4"/>
      <c r="M42" s="15" t="s">
        <v>90</v>
      </c>
      <c r="N42" s="3"/>
      <c r="O42" s="3"/>
      <c r="P42" s="3"/>
    </row>
    <row r="43" spans="3:12" ht="15">
      <c r="C43" s="4" t="s">
        <v>24</v>
      </c>
      <c r="D43" s="4" t="s">
        <v>11</v>
      </c>
      <c r="E43" s="4" t="s">
        <v>17</v>
      </c>
      <c r="F43" s="4" t="s">
        <v>15</v>
      </c>
      <c r="G43" s="4" t="s">
        <v>44</v>
      </c>
      <c r="H43" s="4" t="s">
        <v>46</v>
      </c>
      <c r="I43" s="4" t="s">
        <v>50</v>
      </c>
      <c r="J43" s="4" t="s">
        <v>15</v>
      </c>
      <c r="K43" s="4" t="s">
        <v>44</v>
      </c>
      <c r="L43" s="4"/>
    </row>
    <row r="44" spans="3:16" ht="15">
      <c r="C44" s="4" t="s">
        <v>23</v>
      </c>
      <c r="D44" s="4" t="s">
        <v>10</v>
      </c>
      <c r="E44" s="4" t="s">
        <v>11</v>
      </c>
      <c r="F44" s="4" t="s">
        <v>13</v>
      </c>
      <c r="G44" s="4" t="s">
        <v>51</v>
      </c>
      <c r="H44" s="4" t="s">
        <v>49</v>
      </c>
      <c r="I44" s="4" t="s">
        <v>11</v>
      </c>
      <c r="J44" s="4" t="s">
        <v>13</v>
      </c>
      <c r="K44" s="4" t="s">
        <v>51</v>
      </c>
      <c r="L44" s="4"/>
      <c r="M44" s="18" t="s">
        <v>93</v>
      </c>
      <c r="N44" s="11" t="s">
        <v>94</v>
      </c>
      <c r="O44" s="11" t="s">
        <v>99</v>
      </c>
      <c r="P44" s="17" t="s">
        <v>100</v>
      </c>
    </row>
    <row r="45" spans="3:16" ht="15.75" thickBot="1">
      <c r="C45" s="8" t="s">
        <v>22</v>
      </c>
      <c r="D45" s="8" t="s">
        <v>9</v>
      </c>
      <c r="E45" s="8" t="s">
        <v>9</v>
      </c>
      <c r="F45" s="8" t="s">
        <v>16</v>
      </c>
      <c r="G45" s="8" t="s">
        <v>9</v>
      </c>
      <c r="H45" s="8" t="s">
        <v>9</v>
      </c>
      <c r="I45" s="8" t="s">
        <v>9</v>
      </c>
      <c r="J45" s="8" t="s">
        <v>16</v>
      </c>
      <c r="K45" s="8" t="s">
        <v>16</v>
      </c>
      <c r="L45" s="8"/>
      <c r="M45" s="8" t="s">
        <v>16</v>
      </c>
      <c r="N45" s="8" t="s">
        <v>16</v>
      </c>
      <c r="O45" s="8" t="s">
        <v>16</v>
      </c>
      <c r="P45" s="8" t="s">
        <v>16</v>
      </c>
    </row>
    <row r="47" spans="1:16" ht="15">
      <c r="A47" t="s">
        <v>0</v>
      </c>
      <c r="C47" s="1">
        <v>505169</v>
      </c>
      <c r="D47" s="1">
        <v>91806</v>
      </c>
      <c r="E47" s="1">
        <v>83860</v>
      </c>
      <c r="F47" s="1">
        <f>100*E47/D47</f>
        <v>91.34479227937172</v>
      </c>
      <c r="G47" s="1">
        <f>IF(F47&lt;95,D47*0.95-E47,IF(F47&gt;105,D47*1.05-E47,0))</f>
        <v>3355.699999999997</v>
      </c>
      <c r="H47" s="1">
        <v>2461.002027784189</v>
      </c>
      <c r="I47" s="1">
        <f>G47+H47</f>
        <v>5816.702027784186</v>
      </c>
      <c r="J47" s="1">
        <f>100*(E47+I47)/D47</f>
        <v>97.68065488942354</v>
      </c>
      <c r="K47" s="13">
        <f>100*I47/E47</f>
        <v>6.936205613861419</v>
      </c>
      <c r="L47" s="13"/>
      <c r="M47" s="12">
        <f>100*((1+K47/100)^0.25-1)</f>
        <v>1.6906896180143738</v>
      </c>
      <c r="N47" s="16">
        <f>M47</f>
        <v>1.6906896180143738</v>
      </c>
      <c r="O47" s="16">
        <f>N47</f>
        <v>1.6906896180143738</v>
      </c>
      <c r="P47" s="16">
        <f>O47</f>
        <v>1.6906896180143738</v>
      </c>
    </row>
    <row r="48" spans="1:16" ht="15">
      <c r="A48" t="s">
        <v>1</v>
      </c>
      <c r="C48" s="1">
        <v>19523</v>
      </c>
      <c r="D48" s="1">
        <v>4512</v>
      </c>
      <c r="E48" s="1">
        <v>4309</v>
      </c>
      <c r="F48" s="1">
        <f aca="true" t="shared" si="7" ref="F48:F55">100*E48/D48</f>
        <v>95.50088652482269</v>
      </c>
      <c r="G48" s="1">
        <f aca="true" t="shared" si="8" ref="G48:G55">IF(F48&lt;95,D48*0.95-E48,IF(F48&gt;105,D48*1.05-E48,0))</f>
        <v>0</v>
      </c>
      <c r="H48" s="1">
        <v>120.95114861079081</v>
      </c>
      <c r="I48" s="1">
        <f aca="true" t="shared" si="9" ref="I48:I55">G48+H48</f>
        <v>120.95114861079081</v>
      </c>
      <c r="J48" s="1">
        <f aca="true" t="shared" si="10" ref="J48:J55">100*(E48+I48)/D48</f>
        <v>98.18154141424624</v>
      </c>
      <c r="K48" s="13">
        <f aca="true" t="shared" si="11" ref="K48:K55">100*I48/E48</f>
        <v>2.8069424138034536</v>
      </c>
      <c r="L48" s="13"/>
      <c r="M48" s="12">
        <f aca="true" t="shared" si="12" ref="M48:M55">100*((1+K48/100)^0.25-1)</f>
        <v>0.6944677698776491</v>
      </c>
      <c r="N48" s="16">
        <f>M48</f>
        <v>0.6944677698776491</v>
      </c>
      <c r="O48" s="16">
        <f>N48</f>
        <v>0.6944677698776491</v>
      </c>
      <c r="P48" s="16">
        <f>O48</f>
        <v>0.6944677698776491</v>
      </c>
    </row>
    <row r="49" spans="1:16" ht="15">
      <c r="A49" t="s">
        <v>2</v>
      </c>
      <c r="C49" s="1">
        <v>52322</v>
      </c>
      <c r="D49" s="1">
        <v>8372</v>
      </c>
      <c r="E49" s="1">
        <v>6868</v>
      </c>
      <c r="F49" s="1">
        <f t="shared" si="7"/>
        <v>82.03535594839943</v>
      </c>
      <c r="G49" s="1">
        <f t="shared" si="8"/>
        <v>1085.3999999999996</v>
      </c>
      <c r="H49" s="1">
        <v>224.42442734254004</v>
      </c>
      <c r="I49" s="1">
        <f t="shared" si="9"/>
        <v>1309.8244273425396</v>
      </c>
      <c r="J49" s="1">
        <f t="shared" si="10"/>
        <v>97.68065488942355</v>
      </c>
      <c r="K49" s="13">
        <f t="shared" si="11"/>
        <v>19.071409833176173</v>
      </c>
      <c r="L49" s="13"/>
      <c r="M49" s="12">
        <f t="shared" si="12"/>
        <v>4.460445567176308</v>
      </c>
      <c r="N49" s="16">
        <f>M49</f>
        <v>4.460445567176308</v>
      </c>
      <c r="O49" s="16">
        <f>N49</f>
        <v>4.460445567176308</v>
      </c>
      <c r="P49" s="16">
        <f>O49</f>
        <v>4.460445567176308</v>
      </c>
    </row>
    <row r="50" spans="1:16" ht="15">
      <c r="A50" t="s">
        <v>3</v>
      </c>
      <c r="C50" s="1">
        <v>375639</v>
      </c>
      <c r="D50" s="1">
        <v>47880</v>
      </c>
      <c r="E50" s="1">
        <v>58151</v>
      </c>
      <c r="F50" s="1">
        <f t="shared" si="7"/>
        <v>121.4515455304929</v>
      </c>
      <c r="G50" s="1">
        <f t="shared" si="8"/>
        <v>-7877</v>
      </c>
      <c r="H50" s="1">
        <v>0</v>
      </c>
      <c r="I50" s="1">
        <f t="shared" si="9"/>
        <v>-7877</v>
      </c>
      <c r="J50" s="1">
        <f t="shared" si="10"/>
        <v>105</v>
      </c>
      <c r="K50" s="13">
        <f t="shared" si="11"/>
        <v>-13.545768774397688</v>
      </c>
      <c r="L50" s="13"/>
      <c r="M50" s="12">
        <f t="shared" si="12"/>
        <v>-3.573464498885548</v>
      </c>
      <c r="N50" s="16">
        <f>M50</f>
        <v>-3.573464498885548</v>
      </c>
      <c r="O50" s="16">
        <f>N50</f>
        <v>-3.573464498885548</v>
      </c>
      <c r="P50" s="16">
        <f>O50</f>
        <v>-3.573464498885548</v>
      </c>
    </row>
    <row r="51" spans="1:16" ht="15">
      <c r="A51" t="s">
        <v>4</v>
      </c>
      <c r="C51" s="1">
        <v>9279</v>
      </c>
      <c r="D51" s="1">
        <v>1565</v>
      </c>
      <c r="E51" s="1">
        <v>1766</v>
      </c>
      <c r="F51" s="1">
        <f t="shared" si="7"/>
        <v>112.84345047923323</v>
      </c>
      <c r="G51" s="1">
        <f t="shared" si="8"/>
        <v>-122.75</v>
      </c>
      <c r="H51" s="1">
        <v>0</v>
      </c>
      <c r="I51" s="1">
        <f t="shared" si="9"/>
        <v>-122.75</v>
      </c>
      <c r="J51" s="1">
        <f t="shared" si="10"/>
        <v>105</v>
      </c>
      <c r="K51" s="13">
        <f t="shared" si="11"/>
        <v>-6.950736126840317</v>
      </c>
      <c r="L51" s="13"/>
      <c r="M51" s="12">
        <f t="shared" si="12"/>
        <v>-1.7849062736953747</v>
      </c>
      <c r="N51" s="16">
        <f>M51</f>
        <v>-1.7849062736953747</v>
      </c>
      <c r="O51" s="16">
        <f>N51</f>
        <v>-1.7849062736953747</v>
      </c>
      <c r="P51" s="16">
        <f>O51</f>
        <v>-1.7849062736953747</v>
      </c>
    </row>
    <row r="52" spans="1:16" ht="15">
      <c r="A52" t="s">
        <v>5</v>
      </c>
      <c r="C52" s="1">
        <v>88162</v>
      </c>
      <c r="D52" s="1">
        <v>11402</v>
      </c>
      <c r="E52" s="1">
        <v>11675</v>
      </c>
      <c r="F52" s="1">
        <f t="shared" si="7"/>
        <v>102.39431678652868</v>
      </c>
      <c r="G52" s="1">
        <f t="shared" si="8"/>
        <v>0</v>
      </c>
      <c r="H52" s="1">
        <v>0</v>
      </c>
      <c r="I52" s="1">
        <f t="shared" si="9"/>
        <v>0</v>
      </c>
      <c r="J52" s="1">
        <f t="shared" si="10"/>
        <v>102.39431678652868</v>
      </c>
      <c r="K52" s="13">
        <f t="shared" si="11"/>
        <v>0</v>
      </c>
      <c r="L52" s="13"/>
      <c r="M52" s="12">
        <f t="shared" si="12"/>
        <v>0</v>
      </c>
      <c r="N52" s="16">
        <f>M52</f>
        <v>0</v>
      </c>
      <c r="O52" s="16">
        <f>N52</f>
        <v>0</v>
      </c>
      <c r="P52" s="16">
        <f>O52</f>
        <v>0</v>
      </c>
    </row>
    <row r="53" spans="1:16" ht="15">
      <c r="A53" t="s">
        <v>6</v>
      </c>
      <c r="C53" s="1">
        <v>150029</v>
      </c>
      <c r="D53" s="1">
        <v>14115</v>
      </c>
      <c r="E53" s="1">
        <v>13205</v>
      </c>
      <c r="F53" s="1">
        <f t="shared" si="7"/>
        <v>93.55295784626284</v>
      </c>
      <c r="G53" s="1">
        <f t="shared" si="8"/>
        <v>204.25</v>
      </c>
      <c r="H53" s="1">
        <v>378.3744376421348</v>
      </c>
      <c r="I53" s="1">
        <f t="shared" si="9"/>
        <v>582.6244376421348</v>
      </c>
      <c r="J53" s="1">
        <f t="shared" si="10"/>
        <v>97.68065488942355</v>
      </c>
      <c r="K53" s="13">
        <f t="shared" si="11"/>
        <v>4.412150228263043</v>
      </c>
      <c r="L53" s="13"/>
      <c r="M53" s="12">
        <f t="shared" si="12"/>
        <v>1.0852431064983792</v>
      </c>
      <c r="N53" s="16">
        <f>M53</f>
        <v>1.0852431064983792</v>
      </c>
      <c r="O53" s="16">
        <f>N53</f>
        <v>1.0852431064983792</v>
      </c>
      <c r="P53" s="16">
        <f>O53</f>
        <v>1.0852431064983792</v>
      </c>
    </row>
    <row r="54" spans="1:16" ht="15">
      <c r="A54" t="s">
        <v>7</v>
      </c>
      <c r="C54" s="1">
        <v>5519</v>
      </c>
      <c r="D54" s="1">
        <v>2559</v>
      </c>
      <c r="E54" s="1">
        <v>2330</v>
      </c>
      <c r="F54" s="1">
        <f t="shared" si="7"/>
        <v>91.05119187182493</v>
      </c>
      <c r="G54" s="1">
        <f t="shared" si="8"/>
        <v>101.04999999999973</v>
      </c>
      <c r="H54" s="1">
        <v>68.59795862034878</v>
      </c>
      <c r="I54" s="1">
        <f t="shared" si="9"/>
        <v>169.6479586203485</v>
      </c>
      <c r="J54" s="1">
        <f t="shared" si="10"/>
        <v>97.68065488942355</v>
      </c>
      <c r="K54" s="13">
        <f t="shared" si="11"/>
        <v>7.2810282669677475</v>
      </c>
      <c r="L54" s="13"/>
      <c r="M54" s="12">
        <f t="shared" si="12"/>
        <v>1.7725677140721041</v>
      </c>
      <c r="N54" s="16">
        <f>M54</f>
        <v>1.7725677140721041</v>
      </c>
      <c r="O54" s="16">
        <f>N54</f>
        <v>1.7725677140721041</v>
      </c>
      <c r="P54" s="16">
        <f>O54</f>
        <v>1.7725677140721041</v>
      </c>
    </row>
    <row r="55" spans="1:16" ht="15">
      <c r="A55" t="s">
        <v>8</v>
      </c>
      <c r="C55" s="6">
        <v>2416</v>
      </c>
      <c r="D55" s="6">
        <v>391</v>
      </c>
      <c r="E55" s="6">
        <v>407</v>
      </c>
      <c r="F55" s="6">
        <f t="shared" si="7"/>
        <v>104.0920716112532</v>
      </c>
      <c r="G55" s="6">
        <f t="shared" si="8"/>
        <v>0</v>
      </c>
      <c r="H55" s="6">
        <v>0</v>
      </c>
      <c r="I55" s="6">
        <f t="shared" si="9"/>
        <v>0</v>
      </c>
      <c r="J55" s="1">
        <f t="shared" si="10"/>
        <v>104.0920716112532</v>
      </c>
      <c r="K55" s="13">
        <f t="shared" si="11"/>
        <v>0</v>
      </c>
      <c r="L55" s="13"/>
      <c r="M55" s="12">
        <f t="shared" si="12"/>
        <v>0</v>
      </c>
      <c r="N55" s="16">
        <f>M55</f>
        <v>0</v>
      </c>
      <c r="O55" s="16">
        <f>N55</f>
        <v>0</v>
      </c>
      <c r="P55" s="16">
        <f>O55</f>
        <v>0</v>
      </c>
    </row>
    <row r="57" spans="3:10" ht="15">
      <c r="C57" s="2">
        <f>SUM(C47:C55)</f>
        <v>1208058</v>
      </c>
      <c r="D57" s="2">
        <f>SUM(D47:D55)</f>
        <v>182602</v>
      </c>
      <c r="E57" s="2">
        <f>SUM(E47:E55)</f>
        <v>182571</v>
      </c>
      <c r="F57" s="1">
        <f>100*E57/D57</f>
        <v>99.98302318704067</v>
      </c>
      <c r="G57" s="2">
        <f>SUM(G47:G55)</f>
        <v>-3253.3500000000035</v>
      </c>
      <c r="H57" s="2">
        <f>SUM(H47:H55)</f>
        <v>3253.3500000000035</v>
      </c>
      <c r="I57" s="2">
        <f>SUM(I47:I55)</f>
        <v>-7.958078640513122E-13</v>
      </c>
      <c r="J57" s="2"/>
    </row>
  </sheetData>
  <sheetProtection/>
  <printOptions/>
  <pageMargins left="0.3" right="0.3" top="0.75" bottom="0.75" header="0.3" footer="0.3"/>
  <pageSetup horizontalDpi="600" verticalDpi="600" orientation="landscape" scale="7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2019-02-19T20:12:45Z</dcterms:modified>
  <cp:category/>
  <cp:version/>
  <cp:contentType/>
  <cp:contentStatus/>
</cp:coreProperties>
</file>