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tabRatio="759" activeTab="0"/>
  </bookViews>
  <sheets>
    <sheet name="Table1" sheetId="1" r:id="rId1"/>
    <sheet name="Table2" sheetId="2" r:id="rId2"/>
    <sheet name="Table3" sheetId="3" r:id="rId3"/>
    <sheet name="Table 4 - Impact" sheetId="4" r:id="rId4"/>
    <sheet name="DeprLot" sheetId="5" state="hidden" r:id="rId5"/>
    <sheet name="Controls" sheetId="6" state="hidden" r:id="rId6"/>
    <sheet name="Accounts" sheetId="7" state="hidden" r:id="rId7"/>
    <sheet name="Appendix 9" sheetId="8" r:id="rId8"/>
    <sheet name="Appendix 10" sheetId="9" r:id="rId9"/>
    <sheet name="Appendix 11 - Revised" sheetId="10" r:id="rId10"/>
  </sheets>
  <definedNames>
    <definedName name="_xlfn.SUMIFS" hidden="1">#NAME?</definedName>
    <definedName name="AccountLookup">'Accounts'!$A$2:$F$57</definedName>
    <definedName name="Acct314Reserve">'Controls'!$K$6:$N$10</definedName>
    <definedName name="Controls">'Controls'!$A$5:$H$65</definedName>
    <definedName name="DEPR_LOT" localSheetId="4">'DeprLot'!$A$1:$P$46</definedName>
    <definedName name="Deprlot">'DeprLot'!$A$1:$S$48</definedName>
    <definedName name="_xlnm.Print_Area" localSheetId="8">'Appendix 10'!$C$1:$J$21</definedName>
    <definedName name="_xlnm.Print_Area" localSheetId="9">'Appendix 11 - Revised'!$C$2:$M$23</definedName>
    <definedName name="_xlnm.Print_Area" localSheetId="7">'Appendix 9'!$A$1:$V$42</definedName>
    <definedName name="_xlnm.Print_Area" localSheetId="3">'Table 4 - Impact'!$E$1:$AH$89</definedName>
    <definedName name="_xlnm.Print_Area" localSheetId="0">'Table1'!$E$1:$X$93</definedName>
    <definedName name="_xlnm.Print_Area" localSheetId="1">'Table2'!$E$1:$V$84</definedName>
    <definedName name="_xlnm.Print_Area" localSheetId="2">'Table3'!$E$1:$R$84</definedName>
    <definedName name="_xlnm.Print_Titles" localSheetId="7">'Appendix 9'!$1:$9</definedName>
    <definedName name="_xlnm.Print_Titles" localSheetId="3">'Table 4 - Impact'!$1:$10</definedName>
    <definedName name="_xlnm.Print_Titles" localSheetId="0">'Table1'!$1:$10</definedName>
    <definedName name="_xlnm.Print_Titles" localSheetId="1">'Table2'!$1:$10</definedName>
    <definedName name="_xlnm.Print_Titles" localSheetId="2">'Table3'!$1:$10</definedName>
  </definedNames>
  <calcPr fullCalcOnLoad="1"/>
</workbook>
</file>

<file path=xl/sharedStrings.xml><?xml version="1.0" encoding="utf-8"?>
<sst xmlns="http://schemas.openxmlformats.org/spreadsheetml/2006/main" count="1244" uniqueCount="469">
  <si>
    <t>(1)</t>
  </si>
  <si>
    <t>(2)</t>
  </si>
  <si>
    <t>(3)</t>
  </si>
  <si>
    <t>(4)</t>
  </si>
  <si>
    <t>(5)</t>
  </si>
  <si>
    <t>(6)</t>
  </si>
  <si>
    <t>Land and Land Rights</t>
  </si>
  <si>
    <t>(5)=(3)-(4)</t>
  </si>
  <si>
    <t xml:space="preserve">       </t>
  </si>
  <si>
    <t>-</t>
  </si>
  <si>
    <t>(7)=(6)/(5)</t>
  </si>
  <si>
    <t>TOTAL DEPRECIABLE ELECTRIC PLANT</t>
  </si>
  <si>
    <t>DEPRECIABLE ELECTRIC PLANT</t>
  </si>
  <si>
    <t>341</t>
  </si>
  <si>
    <t>344</t>
  </si>
  <si>
    <t>346</t>
  </si>
  <si>
    <t>354</t>
  </si>
  <si>
    <t>355</t>
  </si>
  <si>
    <t>356</t>
  </si>
  <si>
    <t>362</t>
  </si>
  <si>
    <t>364</t>
  </si>
  <si>
    <t>365</t>
  </si>
  <si>
    <t>367</t>
  </si>
  <si>
    <t>373.2</t>
  </si>
  <si>
    <t>390</t>
  </si>
  <si>
    <t>392</t>
  </si>
  <si>
    <t>394</t>
  </si>
  <si>
    <t>397</t>
  </si>
  <si>
    <t>MARITIME ELECTRIC COMPANY</t>
  </si>
  <si>
    <t>Boiler Plant Equipment</t>
  </si>
  <si>
    <t>Turbogenerator Units</t>
  </si>
  <si>
    <t>Accessory Electrical Equipment</t>
  </si>
  <si>
    <t>Generators</t>
  </si>
  <si>
    <t>Structures and Improvements</t>
  </si>
  <si>
    <t>Substation Equipment</t>
  </si>
  <si>
    <t>Transportation Equipment</t>
  </si>
  <si>
    <t xml:space="preserve">  LIFE</t>
  </si>
  <si>
    <t>TP CV</t>
  </si>
  <si>
    <t>Line Transformers</t>
  </si>
  <si>
    <t>Line Transformer Installations</t>
  </si>
  <si>
    <t>ECC Land</t>
  </si>
  <si>
    <t>ECC UG Cables</t>
  </si>
  <si>
    <t>ECC Build</t>
  </si>
  <si>
    <t>Dist Land</t>
  </si>
  <si>
    <t>Dist Poles &amp; Fixtures</t>
  </si>
  <si>
    <t>Dist Line Control Devices</t>
  </si>
  <si>
    <t>Dist Service Lines</t>
  </si>
  <si>
    <t>Dist Street &amp; Yard Lights</t>
  </si>
  <si>
    <t>Dist UG Conductors</t>
  </si>
  <si>
    <t>Dist UG Service Lines</t>
  </si>
  <si>
    <t>Dist Meters</t>
  </si>
  <si>
    <t>Dist Tools &amp; Stores Equip</t>
  </si>
  <si>
    <t>Office Equip</t>
  </si>
  <si>
    <t>Transportation Equip</t>
  </si>
  <si>
    <t>Computer Hardware</t>
  </si>
  <si>
    <t>Computer Software</t>
  </si>
  <si>
    <t>Marketing &amp; Transition</t>
  </si>
  <si>
    <t>Trans Land</t>
  </si>
  <si>
    <t>Trans Towers</t>
  </si>
  <si>
    <t>Trans Poles &amp; Fixtures</t>
  </si>
  <si>
    <t>Trans Line Control Devices</t>
  </si>
  <si>
    <t>Trans UG Cables</t>
  </si>
  <si>
    <t>1103, 1104, 1105</t>
  </si>
  <si>
    <t>1115, 1135</t>
  </si>
  <si>
    <t>1748, 1750</t>
  </si>
  <si>
    <t>1761, 1762</t>
  </si>
  <si>
    <t>1301, 1777</t>
  </si>
  <si>
    <t>1105, 1107, 1109</t>
  </si>
  <si>
    <t>(7)</t>
  </si>
  <si>
    <t>(8)=(5)/(7)</t>
  </si>
  <si>
    <t>Road &amp; Trails</t>
  </si>
  <si>
    <t xml:space="preserve">ACCT GROUP          </t>
  </si>
  <si>
    <t xml:space="preserve">   LS DATE</t>
  </si>
  <si>
    <t xml:space="preserve">          SAL</t>
  </si>
  <si>
    <t xml:space="preserve">         COST</t>
  </si>
  <si>
    <t xml:space="preserve">      FUT-ACC</t>
  </si>
  <si>
    <t xml:space="preserve">       ANNUAL</t>
  </si>
  <si>
    <t xml:space="preserve">         RATE</t>
  </si>
  <si>
    <t xml:space="preserve">       REM LF</t>
  </si>
  <si>
    <t xml:space="preserve">        PR LF</t>
  </si>
  <si>
    <t xml:space="preserve">        PR CV</t>
  </si>
  <si>
    <t xml:space="preserve">         FSAL</t>
  </si>
  <si>
    <t xml:space="preserve">        % RES</t>
  </si>
  <si>
    <t xml:space="preserve">          AGE</t>
  </si>
  <si>
    <t xml:space="preserve">     CALC RES</t>
  </si>
  <si>
    <t xml:space="preserve">          </t>
  </si>
  <si>
    <t xml:space="preserve">   ND</t>
  </si>
  <si>
    <t xml:space="preserve">   S0</t>
  </si>
  <si>
    <t xml:space="preserve">   R2</t>
  </si>
  <si>
    <t xml:space="preserve">   L0</t>
  </si>
  <si>
    <t xml:space="preserve">344.00 01           </t>
  </si>
  <si>
    <t xml:space="preserve">344.00 03           </t>
  </si>
  <si>
    <t xml:space="preserve">   SQ</t>
  </si>
  <si>
    <t xml:space="preserve">   R3</t>
  </si>
  <si>
    <t xml:space="preserve">   R4</t>
  </si>
  <si>
    <t xml:space="preserve"> R2.5</t>
  </si>
  <si>
    <t xml:space="preserve">   S2</t>
  </si>
  <si>
    <t xml:space="preserve">   R1</t>
  </si>
  <si>
    <t xml:space="preserve">   S4</t>
  </si>
  <si>
    <t>Prod Power Plant Land</t>
  </si>
  <si>
    <t>Prod Power Plant Build &amp; Structures</t>
  </si>
  <si>
    <t>Prod Pumphouse Elect Equip</t>
  </si>
  <si>
    <t>Prod Pumphouse Mech Equip</t>
  </si>
  <si>
    <t>Prod Boiler Plant Equip</t>
  </si>
  <si>
    <t>Prod Turbine &amp; Aux Equip</t>
  </si>
  <si>
    <t>Gas Turbine &amp; Aux Equip</t>
  </si>
  <si>
    <t>Prod Elect Equip Plant &amp; Yard</t>
  </si>
  <si>
    <t>Prod Misc Power Plant Equip</t>
  </si>
  <si>
    <t>Prod Shop Equip</t>
  </si>
  <si>
    <t>Prod River Pumphouse Build</t>
  </si>
  <si>
    <t>Prod Borden Power Plant Land</t>
  </si>
  <si>
    <t>Prod Borden Build &amp; Structures</t>
  </si>
  <si>
    <t>Prod Borden Gas Turbine &amp; Aux Equip</t>
  </si>
  <si>
    <t>Prod Borden Misc Equip</t>
  </si>
  <si>
    <t>Prod ECC Misc Power Plant Equip</t>
  </si>
  <si>
    <t>Dist Substation Land</t>
  </si>
  <si>
    <t>Dist Substation Equip Build &amp; Structures</t>
  </si>
  <si>
    <t>Dist Right of Way &amp; Easements</t>
  </si>
  <si>
    <t>Dist OH Conductors</t>
  </si>
  <si>
    <t>Dist Tranformers</t>
  </si>
  <si>
    <t>Dist Transformer Installations</t>
  </si>
  <si>
    <t>Dist UG System Street Lights</t>
  </si>
  <si>
    <t>Dist Meter Installations</t>
  </si>
  <si>
    <t>Dist Communications System</t>
  </si>
  <si>
    <t>Dist Eng Test &amp; Survey Equip</t>
  </si>
  <si>
    <t>Supervisory Scada System</t>
  </si>
  <si>
    <t>Dist General Property Land</t>
  </si>
  <si>
    <t>Dist General Prop Build Office</t>
  </si>
  <si>
    <t>Dist General Property Build Districts</t>
  </si>
  <si>
    <t>Trans Substation Land</t>
  </si>
  <si>
    <t>Trans Substation Equip, Build &amp; Structur</t>
  </si>
  <si>
    <t>Trans Right of Way &amp; Easements</t>
  </si>
  <si>
    <t>Trans OH Conductors</t>
  </si>
  <si>
    <t>Trans General Property Land</t>
  </si>
  <si>
    <t>Account</t>
  </si>
  <si>
    <t>Description</t>
  </si>
  <si>
    <t>USA Number</t>
  </si>
  <si>
    <t>USA Depreciable Group</t>
  </si>
  <si>
    <t>Acct.</t>
  </si>
  <si>
    <t>Group</t>
  </si>
  <si>
    <t>Prod Gas Turbine &amp; Aux Equip</t>
  </si>
  <si>
    <t>03</t>
  </si>
  <si>
    <t>Miscellaneous Power Plant Equipment</t>
  </si>
  <si>
    <t>01</t>
  </si>
  <si>
    <t>Structures and Improvements - Energy Control Center</t>
  </si>
  <si>
    <t>Right of Way</t>
  </si>
  <si>
    <t>Overhead Conductors</t>
  </si>
  <si>
    <t>Poles, Towers and Fixtures</t>
  </si>
  <si>
    <t>Services - Overhead</t>
  </si>
  <si>
    <t>Street Lighting and Signal Systems</t>
  </si>
  <si>
    <t>Undergorund Conductors</t>
  </si>
  <si>
    <t>Services - Underground</t>
  </si>
  <si>
    <t>Street Lighting and Signal Systems - Underground</t>
  </si>
  <si>
    <t>Meters</t>
  </si>
  <si>
    <t>Mete Installations</t>
  </si>
  <si>
    <t>Communications Equipment</t>
  </si>
  <si>
    <t>Tools, Shop and Garage Equipment</t>
  </si>
  <si>
    <t>Communications Equipment - Scada</t>
  </si>
  <si>
    <t>Structures and Improvements - Office</t>
  </si>
  <si>
    <t>Structures and Improvements - Districts</t>
  </si>
  <si>
    <t>Office Furniture and Equipment - Equipment</t>
  </si>
  <si>
    <t>Office Furniture and Equipment - Computer Hardware</t>
  </si>
  <si>
    <t>Office Furniture and Equipment - Computer Software</t>
  </si>
  <si>
    <t>Right of Way and Easements</t>
  </si>
  <si>
    <t>Trans Roads &amp; Trails</t>
  </si>
  <si>
    <t>Towers and Fixtures</t>
  </si>
  <si>
    <t>Poles and Fixtures</t>
  </si>
  <si>
    <t>Difference:</t>
  </si>
  <si>
    <t>Tag</t>
  </si>
  <si>
    <t>Table 1</t>
  </si>
  <si>
    <t xml:space="preserve">   R5</t>
  </si>
  <si>
    <t>Total Controls</t>
  </si>
  <si>
    <t>1785, 3585</t>
  </si>
  <si>
    <t>ORIGINAL COST</t>
  </si>
  <si>
    <t>PROBABLE</t>
  </si>
  <si>
    <t>RETIREMENT</t>
  </si>
  <si>
    <t>YEAR</t>
  </si>
  <si>
    <t>ESTIMATED</t>
  </si>
  <si>
    <t>SURVIVOR</t>
  </si>
  <si>
    <t>CURVE</t>
  </si>
  <si>
    <t>DEPRECIABLE GROUP</t>
  </si>
  <si>
    <t>NET</t>
  </si>
  <si>
    <t>SALVAGE</t>
  </si>
  <si>
    <t>PERCENT</t>
  </si>
  <si>
    <t>ANNUAL</t>
  </si>
  <si>
    <t>ACCRUAL</t>
  </si>
  <si>
    <t>AMOUNT</t>
  </si>
  <si>
    <t>RATE</t>
  </si>
  <si>
    <t>CALCULATED</t>
  </si>
  <si>
    <t>ACCRUED</t>
  </si>
  <si>
    <t>DEPRECIATION</t>
  </si>
  <si>
    <t>STEAM PRODUCTION PLANT</t>
  </si>
  <si>
    <t/>
  </si>
  <si>
    <t>CHARLOTTETOWN STEAM PLANT</t>
  </si>
  <si>
    <t>311</t>
  </si>
  <si>
    <t>STRUCTURES &amp; IMPROVEMENTS</t>
  </si>
  <si>
    <t>312</t>
  </si>
  <si>
    <t>BOILER PLANT EQUIPMENT</t>
  </si>
  <si>
    <t>314</t>
  </si>
  <si>
    <t>TURBOGENERATOR UNITS</t>
  </si>
  <si>
    <t>315</t>
  </si>
  <si>
    <t>ACCESSORY ELECTRICAL EQUIPMENT</t>
  </si>
  <si>
    <t>316</t>
  </si>
  <si>
    <t>MISCELLANEOUS POWER PLANT EQUIPMENT</t>
  </si>
  <si>
    <t>TOTAL STEAM PRODUCTION PLANT</t>
  </si>
  <si>
    <t>OTHER PRODUCTION PLANT</t>
  </si>
  <si>
    <t>BORDEN</t>
  </si>
  <si>
    <t>STRUCTURES AND IMPROVEMENTS</t>
  </si>
  <si>
    <t>GENERATORS</t>
  </si>
  <si>
    <t>SUBTOTAL BORDEN</t>
  </si>
  <si>
    <t>CHARLOTTETOWN - CT3</t>
  </si>
  <si>
    <t>TOTAL OTHER PRODUCTION PLANT</t>
  </si>
  <si>
    <t>TRANSMISSION PLANT</t>
  </si>
  <si>
    <t>350.2</t>
  </si>
  <si>
    <t>RIGHTS OF WAY AND EASEMENTS</t>
  </si>
  <si>
    <t>353</t>
  </si>
  <si>
    <t>SUBSTATION EQUIPMENT</t>
  </si>
  <si>
    <t xml:space="preserve">TOWERS AND FIXTURES                          </t>
  </si>
  <si>
    <t xml:space="preserve">POLES AND FIXTURES                           </t>
  </si>
  <si>
    <t xml:space="preserve">OVERHEAD CONDUCTORS                          </t>
  </si>
  <si>
    <t>359</t>
  </si>
  <si>
    <t>ROAD &amp; TRAILS</t>
  </si>
  <si>
    <t>TOTAL TRANSMISSION PLANT</t>
  </si>
  <si>
    <t>DISTRIBUTION PLANT</t>
  </si>
  <si>
    <t>360.2</t>
  </si>
  <si>
    <t xml:space="preserve">RIGHT OF WAY                                 </t>
  </si>
  <si>
    <t xml:space="preserve">SUBSTATION EQUIPMENT                         </t>
  </si>
  <si>
    <t xml:space="preserve">POLES, TOWERS AND FIXTURES                   </t>
  </si>
  <si>
    <t xml:space="preserve">UNDERGROUND CONDUCTORS                       </t>
  </si>
  <si>
    <t>368.1</t>
  </si>
  <si>
    <t>LINE TRANSFORMERS</t>
  </si>
  <si>
    <t>368.2</t>
  </si>
  <si>
    <t>LINE TRANSFORMER INSTALLATIONS</t>
  </si>
  <si>
    <t>369.01</t>
  </si>
  <si>
    <t xml:space="preserve">SERVICES - OVERHEAD                                </t>
  </si>
  <si>
    <t>369.02</t>
  </si>
  <si>
    <t xml:space="preserve">SERVICES - UNDERGROUND                                     </t>
  </si>
  <si>
    <t>370.1</t>
  </si>
  <si>
    <t xml:space="preserve">METERS                            </t>
  </si>
  <si>
    <t>370.2</t>
  </si>
  <si>
    <t xml:space="preserve">METER INSTALLATIONS            </t>
  </si>
  <si>
    <t>373</t>
  </si>
  <si>
    <t xml:space="preserve">STREET LIGHTING AND SIGNAL SYSTEMS  </t>
  </si>
  <si>
    <t>STREET LIGHTING &amp; SIGNAL SYSTEMS - UNDERGROUND</t>
  </si>
  <si>
    <t>TOTAL DISTRIBUTION PLANT</t>
  </si>
  <si>
    <t>GENERAL PLANT</t>
  </si>
  <si>
    <t>390.11</t>
  </si>
  <si>
    <t>STRUCTURES &amp; IMPROVEMENTS - OFFICE</t>
  </si>
  <si>
    <t>390.12</t>
  </si>
  <si>
    <t>STRUCTURES &amp; IMPROVEMENTS - DISTRICTS</t>
  </si>
  <si>
    <t>391.12</t>
  </si>
  <si>
    <t>OFFICE FURNITURE &amp; EQUIP. - EQUIPMENT</t>
  </si>
  <si>
    <t>391.3</t>
  </si>
  <si>
    <t>OFFICE FURNITURE &amp; EQUIP. - COMPUTER HARDWARE</t>
  </si>
  <si>
    <t>391.4</t>
  </si>
  <si>
    <t>TRANSPORTATION EQUIPMENT</t>
  </si>
  <si>
    <t>TOOLS, SHOP &amp; GARAGE EQUIPMENT</t>
  </si>
  <si>
    <t>COMMUNICATION EQUIPMENT</t>
  </si>
  <si>
    <t>397.5</t>
  </si>
  <si>
    <t xml:space="preserve">COMMUNICATION EQUIPMENT - SCADA  </t>
  </si>
  <si>
    <t>TOTAL GENERAL PLANT</t>
  </si>
  <si>
    <t>NONDEPRECIABLE PLANT</t>
  </si>
  <si>
    <t>310</t>
  </si>
  <si>
    <t>LAND AND LAND RIGHTS</t>
  </si>
  <si>
    <t>340</t>
  </si>
  <si>
    <t>350</t>
  </si>
  <si>
    <t>360</t>
  </si>
  <si>
    <t>389</t>
  </si>
  <si>
    <t>TOTAL NONDEPRECIABLE PLANT</t>
  </si>
  <si>
    <t>TOTAL ELECTRIC PLANT IN SERVICE</t>
  </si>
  <si>
    <t>TABLE 1.  ESTIMATED SURVIVOR CURVE, NET SALVAGE, ORIGINAL COST, CALCULATED ANNUAL AND ACCRUED DEPRECIATION</t>
  </si>
  <si>
    <t>MEC - CLASS #</t>
  </si>
  <si>
    <t xml:space="preserve">TABLE 2.  CALCULATED ACCRUED DEPRECIATION, BOOK ACCUMULATED DEPRECIATION AND DETERMINATION OF RESERVE </t>
  </si>
  <si>
    <t>BOOK</t>
  </si>
  <si>
    <t>RESERVE</t>
  </si>
  <si>
    <t>REM. LIFE</t>
  </si>
  <si>
    <t>ACCUMULATED</t>
  </si>
  <si>
    <t>VARIANCE</t>
  </si>
  <si>
    <t>AMORTIZATION</t>
  </si>
  <si>
    <t>PERIOD</t>
  </si>
  <si>
    <t>RESERVE VARIANCE</t>
  </si>
  <si>
    <t>(6)=(5)/(3)</t>
  </si>
  <si>
    <t>STRUCTURES &amp; IMPROVEMENTS - ENERGY CONTROL CTR.</t>
  </si>
  <si>
    <t>TABLE 3.  CALCULATION OF TOTAL ANNUAL DEPRECIATION INCLUDING AMORTIZATIONS OF THE RESERVE VARIANCE</t>
  </si>
  <si>
    <t>TOTAL</t>
  </si>
  <si>
    <t>RATE % INCL</t>
  </si>
  <si>
    <t xml:space="preserve"> DEPRECIATION</t>
  </si>
  <si>
    <t>TRUE-UP</t>
  </si>
  <si>
    <t>DIFFERENCE</t>
  </si>
  <si>
    <t xml:space="preserve"> S0.5</t>
  </si>
  <si>
    <t xml:space="preserve"> R1.5</t>
  </si>
  <si>
    <t xml:space="preserve">   L3</t>
  </si>
  <si>
    <t>Intangible - Software</t>
  </si>
  <si>
    <t>Intangible - ROW (Distr. &amp; Trans.)</t>
  </si>
  <si>
    <t>SQUARE</t>
  </si>
  <si>
    <t>Name</t>
  </si>
  <si>
    <t>Rate</t>
  </si>
  <si>
    <t>Existing</t>
  </si>
  <si>
    <t>Gross Amount</t>
  </si>
  <si>
    <t xml:space="preserve">Accumulated </t>
  </si>
  <si>
    <t>Intangibles</t>
  </si>
  <si>
    <t>1745, 3580</t>
  </si>
  <si>
    <t>1845, 3580</t>
  </si>
  <si>
    <t>ROW Distribution</t>
  </si>
  <si>
    <t>ROW Transmission</t>
  </si>
  <si>
    <t>Software - CIS and EPS</t>
  </si>
  <si>
    <t>GF Acct</t>
  </si>
  <si>
    <t>3580</t>
  </si>
  <si>
    <t>3585</t>
  </si>
  <si>
    <t>Difference</t>
  </si>
  <si>
    <t>Control Check</t>
  </si>
  <si>
    <t>O/C</t>
  </si>
  <si>
    <t>TABLE 4.  COMPARISON OF EXISTING AND PROPOSED ANNUAL ACCRUAL RATES AND AMOUNTS</t>
  </si>
  <si>
    <t>EXISTING</t>
  </si>
  <si>
    <t>PROPOSED</t>
  </si>
  <si>
    <t>PCT.</t>
  </si>
  <si>
    <t>TOTAL ANNUAL IMPACT</t>
  </si>
  <si>
    <r>
      <t xml:space="preserve">OFFICE FURNITURE &amp; EQUIP. - COMPUTER SOFTWARE </t>
    </r>
    <r>
      <rPr>
        <vertAlign val="superscript"/>
        <sz val="10"/>
        <rFont val="Arial"/>
        <family val="2"/>
      </rPr>
      <t>a</t>
    </r>
  </si>
  <si>
    <t>a  Intangible Developed Software is included in Account 391.4 for depreciation purposes.</t>
  </si>
  <si>
    <t>ROADS AND TRAILS</t>
  </si>
  <si>
    <t>TOOLS, SHOP AND GARAGE EQUIPMENT</t>
  </si>
  <si>
    <t>RELATED TO ELECTRIC PLANT AT DECEMBER 31, 2017</t>
  </si>
  <si>
    <t>AT 12/31/2017</t>
  </si>
  <si>
    <t>Balance from PPE 2017 summary:</t>
  </si>
  <si>
    <t>00</t>
  </si>
  <si>
    <t>Plant Land</t>
  </si>
  <si>
    <t>Plant Build</t>
  </si>
  <si>
    <t>Pumphouse Elect Equip</t>
  </si>
  <si>
    <t>Pumphouse Mech Equip</t>
  </si>
  <si>
    <t>Boiler Plant Equip</t>
  </si>
  <si>
    <t>Turbine &amp; Aux Equip</t>
  </si>
  <si>
    <t>Amortization 2017</t>
  </si>
  <si>
    <t>VARIANCE AMORTIZATIONS RELATED TO ELECTRIC PLANT AT DECEMBER 31, 2017</t>
  </si>
  <si>
    <t>Elect Equip Plant</t>
  </si>
  <si>
    <t>Misc Plant Equip</t>
  </si>
  <si>
    <t>Shop Equip</t>
  </si>
  <si>
    <t>Pumphouse Build</t>
  </si>
  <si>
    <t>Borden Plant Land</t>
  </si>
  <si>
    <t>Borden Build</t>
  </si>
  <si>
    <t>Borden Gas Turbine &amp; Aux Equip</t>
  </si>
  <si>
    <t>Borden Misc Equip</t>
  </si>
  <si>
    <t>ECC Misc Plant Equip</t>
  </si>
  <si>
    <t>Dist Sub Land</t>
  </si>
  <si>
    <t>Dist Sub Equip Build &amp; Struct</t>
  </si>
  <si>
    <t>Dist OH Cond</t>
  </si>
  <si>
    <t>Dist Trans</t>
  </si>
  <si>
    <t>Dist Trans Installations</t>
  </si>
  <si>
    <t>Dist UG Street Lights</t>
  </si>
  <si>
    <t>Dist Meter Install</t>
  </si>
  <si>
    <t>Dist Communications</t>
  </si>
  <si>
    <t>Dist Eng &amp; Survey Equip</t>
  </si>
  <si>
    <t>Scada System</t>
  </si>
  <si>
    <t>Dist Gen Prop Land</t>
  </si>
  <si>
    <t>Dist Gen Prop Build Office</t>
  </si>
  <si>
    <t>Dist Gen Prop Build Districts</t>
  </si>
  <si>
    <t>Trans Sub Land</t>
  </si>
  <si>
    <t>Trans Sub Equip, Build &amp; Struc</t>
  </si>
  <si>
    <t>Trans OH Cond</t>
  </si>
  <si>
    <t>Trans Gen Prop Land</t>
  </si>
  <si>
    <t>Per PPE 2017 Schedule</t>
  </si>
  <si>
    <t>SALV %</t>
  </si>
  <si>
    <t>(6)=(2)*(5)</t>
  </si>
  <si>
    <t>S0</t>
  </si>
  <si>
    <t>R2</t>
  </si>
  <si>
    <t>L0</t>
  </si>
  <si>
    <t>(11)=(10)-(6)</t>
  </si>
  <si>
    <t>(12)=(11)/(6)</t>
  </si>
  <si>
    <r>
      <t>ANNUAL ACCRUAL</t>
    </r>
    <r>
      <rPr>
        <b/>
        <vertAlign val="superscript"/>
        <sz val="10"/>
        <color indexed="8"/>
        <rFont val="Arial"/>
        <family val="2"/>
      </rPr>
      <t>b</t>
    </r>
  </si>
  <si>
    <t>S0.5</t>
  </si>
  <si>
    <t>R5</t>
  </si>
  <si>
    <t>R3</t>
  </si>
  <si>
    <t>R4</t>
  </si>
  <si>
    <t>S2</t>
  </si>
  <si>
    <t>R1.5</t>
  </si>
  <si>
    <t>R2.5</t>
  </si>
  <si>
    <t>L3</t>
  </si>
  <si>
    <t>R1</t>
  </si>
  <si>
    <t>SQ</t>
  </si>
  <si>
    <t>S4</t>
  </si>
  <si>
    <t xml:space="preserve">b  Mass Plant Accounts with a remaining life of less than 5 years were given an amortization period of 5 years. </t>
  </si>
  <si>
    <t>b  The annual accrual rates and amounts shown for the Charlottetown Steam Plant include the reserve variance amortization. All other accounts do not.</t>
  </si>
  <si>
    <t>RESERVE VARIANCE AMORTIZATION (EXCLUDING CHARLOTTETOWN STEAM PLANT)</t>
  </si>
  <si>
    <t>UNIT 7</t>
  </si>
  <si>
    <t>UNIT 8</t>
  </si>
  <si>
    <t>UNITS 9 AND 10</t>
  </si>
  <si>
    <t>TOTAL TURBOGENERATOR UNITS</t>
  </si>
  <si>
    <t xml:space="preserve">314.00 01           </t>
  </si>
  <si>
    <t xml:space="preserve">314.00 02           </t>
  </si>
  <si>
    <t xml:space="preserve">314.00 03           </t>
  </si>
  <si>
    <t>Total</t>
  </si>
  <si>
    <t>Account 314 Allocation</t>
  </si>
  <si>
    <t>Book Reserve</t>
  </si>
  <si>
    <t>CAD</t>
  </si>
  <si>
    <t>Allocated</t>
  </si>
  <si>
    <t>12/31/2017</t>
  </si>
  <si>
    <t>(A)</t>
  </si>
  <si>
    <t>Per UE16-04</t>
  </si>
  <si>
    <t>Reserve Variance</t>
  </si>
  <si>
    <t>Amt Per 2017 Study</t>
  </si>
  <si>
    <t>Amt Per UE16-04</t>
  </si>
  <si>
    <t>Original Cost</t>
  </si>
  <si>
    <t>At 12/31/2017</t>
  </si>
  <si>
    <t>(B)</t>
  </si>
  <si>
    <t>(C)</t>
  </si>
  <si>
    <t>(D)</t>
  </si>
  <si>
    <t>2018 Depr</t>
  </si>
  <si>
    <t>Shortfall</t>
  </si>
  <si>
    <t>Projected Reserve</t>
  </si>
  <si>
    <t>Variance 12/31/18</t>
  </si>
  <si>
    <t>(E)</t>
  </si>
  <si>
    <t>(F)</t>
  </si>
  <si>
    <t>Res Var Amort</t>
  </si>
  <si>
    <t>Annual Depr Accrual</t>
  </si>
  <si>
    <t xml:space="preserve">(D) = (B) - (C) </t>
  </si>
  <si>
    <t>(G) = (E) - (F) + (D)</t>
  </si>
  <si>
    <t>Remaining Life</t>
  </si>
  <si>
    <t>Amort Period</t>
  </si>
  <si>
    <t>(G)</t>
  </si>
  <si>
    <t>(H)</t>
  </si>
  <si>
    <t>Unit 7</t>
  </si>
  <si>
    <t>Unit 8</t>
  </si>
  <si>
    <t>Units 9 and 10</t>
  </si>
  <si>
    <t>Total Turbogenerator Units</t>
  </si>
  <si>
    <t xml:space="preserve">Proposed Annual </t>
  </si>
  <si>
    <t>Depreciation Rate (%)</t>
  </si>
  <si>
    <t>CTGS Steam Production Plant</t>
  </si>
  <si>
    <t>Estimated Annual Depreciation ($)</t>
  </si>
  <si>
    <t>Borden Generating Station</t>
  </si>
  <si>
    <t>Combustion Turbine #3</t>
  </si>
  <si>
    <t>Total Transmission Plant</t>
  </si>
  <si>
    <t>Total Distrbution Plant</t>
  </si>
  <si>
    <t>Total General Plant</t>
  </si>
  <si>
    <t>Total Annual Depreciation Including Reserve Variance Amortization</t>
  </si>
  <si>
    <t>Amortization of Estimated Accumulated Reserve Variance - CTGS</t>
  </si>
  <si>
    <t xml:space="preserve">Other Plant </t>
  </si>
  <si>
    <t xml:space="preserve">    Total Turbogenerator Units</t>
  </si>
  <si>
    <t>CTGS - Total Annual Depreciation Incl. Reserve Variance Amortization</t>
  </si>
  <si>
    <t>Annual Depreciation Accrual - CTGS</t>
  </si>
  <si>
    <t>CTGS Proposed Annual Depreciation and Amortization of Accumulated Reserve Variance Deferral Account</t>
  </si>
  <si>
    <t>2019 - 2023</t>
  </si>
  <si>
    <t>CTGS PROJECTED ACCUMULATED RESERVE VARIANCE AS AT DECEMBER 31, 2018</t>
  </si>
  <si>
    <t>APPENDIX 10</t>
  </si>
  <si>
    <t>APPENDIX 9</t>
  </si>
  <si>
    <t>SUMMARY OF PROPOSED ADJUSTMENTS TO DEPRECIATION RATES AND INCREASE IN DEPRECIATION EXPENSE</t>
  </si>
  <si>
    <t xml:space="preserve">EXISTING </t>
  </si>
  <si>
    <t>ANNUAL RATE</t>
  </si>
  <si>
    <t>A</t>
  </si>
  <si>
    <t>B</t>
  </si>
  <si>
    <t>C=AXB</t>
  </si>
  <si>
    <t>D=E/A</t>
  </si>
  <si>
    <t>E</t>
  </si>
  <si>
    <t>F=E-C</t>
  </si>
  <si>
    <t>G=F/C</t>
  </si>
  <si>
    <t>Other - Net</t>
  </si>
  <si>
    <t>Transmission Plant</t>
  </si>
  <si>
    <t>Total Steam Production Plant</t>
  </si>
  <si>
    <t>Distribution Plant</t>
  </si>
  <si>
    <t>Total Distribution Plant</t>
  </si>
  <si>
    <t>General Plant</t>
  </si>
  <si>
    <t>Communication Equipment - SCADA</t>
  </si>
  <si>
    <t>2017 Study - Part VI - Table 1</t>
  </si>
  <si>
    <t>Rate shown is the composite rate for the asset group - refer to 2014 Depreciation Study - Page VI - Table 1 for the underlying rates used to calculate the Existing Annual Accrual Amount.</t>
  </si>
  <si>
    <t>ANNUAL ACCRUAL</t>
  </si>
  <si>
    <r>
      <t xml:space="preserve">AT 12/31/2017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</si>
  <si>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ANNUAL RATE </t>
    </r>
    <r>
      <rPr>
        <b/>
        <vertAlign val="superscript"/>
        <sz val="10"/>
        <color indexed="8"/>
        <rFont val="Arial"/>
        <family val="2"/>
      </rPr>
      <t>2</t>
    </r>
  </si>
  <si>
    <t>References:</t>
  </si>
  <si>
    <t>Based on depreciation rates approved in the 2016 General Rate Agreement, approved by Order UE16-04 excluding the accumulated reserve variance depreciation.</t>
  </si>
  <si>
    <t>Originally reported as $2,087,833 in error.</t>
  </si>
  <si>
    <t>REVISED APPENDIX 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</si>
</sst>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0_);\(0\)"/>
    <numFmt numFmtId="167" formatCode="mm\-yyyy"/>
    <numFmt numFmtId="168" formatCode="mmmm\ d\,\ yyyy"/>
    <numFmt numFmtId="169" formatCode="m\-yyyy\ \ \ "/>
    <numFmt numFmtId="170" formatCode="[$-409]mmm\-yy;@"/>
    <numFmt numFmtId="171" formatCode="_-* #,##0.00_-;\-* #,##0.00_-;_-* &quot;-&quot;??_-;_-@_-"/>
    <numFmt numFmtId="172" formatCode="#,###,##0.00;\(#,###,##0.00\)"/>
    <numFmt numFmtId="173" formatCode="&quot;$&quot;#,###,##0.00;\(&quot;$&quot;#,###,##0.00\)"/>
    <numFmt numFmtId="174" formatCode="#,###.00%;\(#,##0.00%\)"/>
    <numFmt numFmtId="175" formatCode="0.0%"/>
    <numFmt numFmtId="176" formatCode="_(&quot;$&quot;* #,##0_);_(&quot;$&quot;* \(#,##0\);_(&quot;$&quot;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b/>
      <sz val="12"/>
      <color indexed="12"/>
      <name val="Garamond"/>
      <family val="1"/>
    </font>
    <font>
      <b/>
      <u val="single"/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double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34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4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4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4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4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4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4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4" fillId="4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4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34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5" fillId="44" borderId="0" applyNumberFormat="0" applyBorder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36" fillId="46" borderId="2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3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26" fillId="0" borderId="0">
      <alignment/>
      <protection/>
    </xf>
    <xf numFmtId="173" fontId="26" fillId="0" borderId="0">
      <alignment/>
      <protection/>
    </xf>
    <xf numFmtId="174" fontId="26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0" fillId="49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2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3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44" fillId="50" borderId="2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45" fillId="0" borderId="12" applyNumberFormat="0" applyFill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6" fillId="5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13" applyNumberFormat="0" applyFont="0" applyAlignment="0" applyProtection="0"/>
    <xf numFmtId="0" fontId="1" fillId="53" borderId="13" applyNumberFormat="0" applyFont="0" applyAlignment="0" applyProtection="0"/>
    <xf numFmtId="0" fontId="33" fillId="54" borderId="14" applyNumberFormat="0" applyFont="0" applyAlignment="0" applyProtection="0"/>
    <xf numFmtId="0" fontId="22" fillId="45" borderId="15" applyNumberFormat="0" applyAlignment="0" applyProtection="0"/>
    <xf numFmtId="0" fontId="22" fillId="45" borderId="15" applyNumberFormat="0" applyAlignment="0" applyProtection="0"/>
    <xf numFmtId="0" fontId="47" fillId="46" borderId="16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49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00">
    <xf numFmtId="0" fontId="5" fillId="0" borderId="0" xfId="0" applyNumberFormat="1" applyFont="1" applyAlignment="1" applyProtection="1">
      <alignment/>
      <protection locked="0"/>
    </xf>
    <xf numFmtId="39" fontId="3" fillId="0" borderId="0" xfId="0" applyNumberFormat="1" applyFont="1" applyAlignment="1" applyProtection="1">
      <alignment/>
      <protection locked="0"/>
    </xf>
    <xf numFmtId="39" fontId="4" fillId="0" borderId="0" xfId="0" applyNumberFormat="1" applyFont="1" applyAlignment="1">
      <alignment horizontal="centerContinuous"/>
    </xf>
    <xf numFmtId="39" fontId="4" fillId="0" borderId="0" xfId="0" applyNumberFormat="1" applyFont="1" applyAlignment="1">
      <alignment/>
    </xf>
    <xf numFmtId="39" fontId="4" fillId="0" borderId="19" xfId="0" applyNumberFormat="1" applyFont="1" applyBorder="1" applyAlignment="1">
      <alignment horizontal="centerContinuous"/>
    </xf>
    <xf numFmtId="37" fontId="3" fillId="0" borderId="0" xfId="0" applyNumberFormat="1" applyFont="1" applyAlignment="1" applyProtection="1">
      <alignment/>
      <protection locked="0"/>
    </xf>
    <xf numFmtId="39" fontId="4" fillId="0" borderId="0" xfId="0" applyNumberFormat="1" applyFont="1" applyBorder="1" applyAlignment="1">
      <alignment/>
    </xf>
    <xf numFmtId="39" fontId="3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3" fillId="0" borderId="0" xfId="0" applyNumberFormat="1" applyFont="1" applyAlignment="1" applyProtection="1">
      <alignment horizontal="center"/>
      <protection locked="0"/>
    </xf>
    <xf numFmtId="3" fontId="4" fillId="0" borderId="0" xfId="150" applyNumberFormat="1" applyFont="1" applyAlignment="1">
      <alignment horizontal="center"/>
      <protection/>
    </xf>
    <xf numFmtId="165" fontId="4" fillId="0" borderId="0" xfId="0" applyNumberFormat="1" applyFont="1" applyAlignment="1">
      <alignment horizontal="centerContinuous"/>
    </xf>
    <xf numFmtId="165" fontId="4" fillId="0" borderId="19" xfId="0" applyNumberFormat="1" applyFont="1" applyBorder="1" applyAlignment="1">
      <alignment horizontal="centerContinuous"/>
    </xf>
    <xf numFmtId="37" fontId="4" fillId="0" borderId="0" xfId="150" applyNumberFormat="1" applyFont="1" applyAlignment="1">
      <alignment horizontal="center"/>
      <protection/>
    </xf>
    <xf numFmtId="37" fontId="4" fillId="0" borderId="19" xfId="150" applyNumberFormat="1" applyFont="1" applyBorder="1" applyAlignment="1">
      <alignment horizontal="center"/>
      <protection/>
    </xf>
    <xf numFmtId="37" fontId="4" fillId="0" borderId="20" xfId="0" applyNumberFormat="1" applyFont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 quotePrefix="1">
      <alignment horizontal="center"/>
    </xf>
    <xf numFmtId="37" fontId="3" fillId="0" borderId="0" xfId="0" applyNumberFormat="1" applyFont="1" applyAlignment="1" applyProtection="1">
      <alignment horizontal="right"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37" fontId="4" fillId="0" borderId="0" xfId="150" applyNumberFormat="1" applyFont="1" applyBorder="1" applyAlignment="1">
      <alignment horizontal="center"/>
      <protection/>
    </xf>
    <xf numFmtId="37" fontId="4" fillId="0" borderId="19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39" fontId="3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 quotePrefix="1">
      <alignment horizontal="center"/>
    </xf>
    <xf numFmtId="37" fontId="4" fillId="0" borderId="0" xfId="0" applyNumberFormat="1" applyFont="1" applyBorder="1" applyAlignment="1" quotePrefix="1">
      <alignment horizontal="center"/>
    </xf>
    <xf numFmtId="37" fontId="6" fillId="0" borderId="20" xfId="0" applyNumberFormat="1" applyFont="1" applyBorder="1" applyAlignment="1">
      <alignment horizontal="center"/>
    </xf>
    <xf numFmtId="37" fontId="4" fillId="0" borderId="20" xfId="150" applyNumberFormat="1" applyFont="1" applyBorder="1" applyAlignment="1">
      <alignment horizontal="center"/>
      <protection/>
    </xf>
    <xf numFmtId="166" fontId="3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right"/>
    </xf>
    <xf numFmtId="37" fontId="6" fillId="0" borderId="0" xfId="0" applyNumberFormat="1" applyFont="1" applyAlignment="1" quotePrefix="1">
      <alignment horizontal="center"/>
    </xf>
    <xf numFmtId="37" fontId="6" fillId="0" borderId="0" xfId="0" applyNumberFormat="1" applyFont="1" applyAlignment="1">
      <alignment horizontal="center"/>
    </xf>
    <xf numFmtId="37" fontId="6" fillId="0" borderId="21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9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/>
    </xf>
    <xf numFmtId="169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37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Border="1" applyAlignment="1">
      <alignment horizontal="right"/>
    </xf>
    <xf numFmtId="39" fontId="4" fillId="0" borderId="0" xfId="0" applyNumberFormat="1" applyFont="1" applyFill="1" applyBorder="1" applyAlignment="1" quotePrefix="1">
      <alignment horizontal="right"/>
    </xf>
    <xf numFmtId="39" fontId="3" fillId="0" borderId="0" xfId="0" applyNumberFormat="1" applyFont="1" applyBorder="1" applyAlignment="1" applyProtection="1">
      <alignment horizontal="right"/>
      <protection locked="0"/>
    </xf>
    <xf numFmtId="39" fontId="3" fillId="0" borderId="0" xfId="0" applyNumberFormat="1" applyFont="1" applyFill="1" applyBorder="1" applyAlignment="1" quotePrefix="1">
      <alignment horizontal="right"/>
    </xf>
    <xf numFmtId="164" fontId="3" fillId="0" borderId="0" xfId="96" applyNumberFormat="1" applyFont="1" applyBorder="1" applyAlignment="1">
      <alignment horizontal="center"/>
    </xf>
    <xf numFmtId="37" fontId="3" fillId="0" borderId="0" xfId="0" applyNumberFormat="1" applyFont="1" applyBorder="1" applyAlignment="1" quotePrefix="1">
      <alignment horizontal="right"/>
    </xf>
    <xf numFmtId="39" fontId="3" fillId="0" borderId="0" xfId="0" applyNumberFormat="1" applyFont="1" applyBorder="1" applyAlignment="1">
      <alignment horizontal="right"/>
    </xf>
    <xf numFmtId="37" fontId="3" fillId="0" borderId="0" xfId="150" applyNumberFormat="1" applyFont="1" applyBorder="1" applyAlignment="1">
      <alignment horizontal="right"/>
      <protection/>
    </xf>
    <xf numFmtId="37" fontId="3" fillId="0" borderId="20" xfId="150" applyNumberFormat="1" applyFont="1" applyBorder="1" applyAlignment="1">
      <alignment horizontal="right"/>
      <protection/>
    </xf>
    <xf numFmtId="37" fontId="3" fillId="0" borderId="20" xfId="0" applyNumberFormat="1" applyFont="1" applyBorder="1" applyAlignment="1" quotePrefix="1">
      <alignment horizontal="right"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Border="1" applyAlignment="1">
      <alignment/>
    </xf>
    <xf numFmtId="43" fontId="0" fillId="0" borderId="0" xfId="96" applyFont="1" applyAlignment="1">
      <alignment/>
    </xf>
    <xf numFmtId="39" fontId="0" fillId="0" borderId="0" xfId="0" applyNumberFormat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43" fontId="5" fillId="0" borderId="0" xfId="96" applyFont="1" applyAlignment="1" applyProtection="1">
      <alignment/>
      <protection locked="0"/>
    </xf>
    <xf numFmtId="3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164" fontId="3" fillId="0" borderId="0" xfId="96" applyNumberFormat="1" applyFont="1" applyBorder="1" applyAlignment="1">
      <alignment horizontal="right"/>
    </xf>
    <xf numFmtId="164" fontId="6" fillId="0" borderId="0" xfId="96" applyNumberFormat="1" applyFont="1" applyBorder="1" applyAlignment="1">
      <alignment horizontal="right"/>
    </xf>
    <xf numFmtId="164" fontId="0" fillId="0" borderId="0" xfId="96" applyNumberFormat="1" applyFont="1" applyBorder="1" applyAlignment="1">
      <alignment/>
    </xf>
    <xf numFmtId="0" fontId="8" fillId="0" borderId="0" xfId="0" applyFont="1" applyAlignment="1">
      <alignment/>
    </xf>
    <xf numFmtId="17" fontId="8" fillId="0" borderId="0" xfId="0" applyNumberFormat="1" applyFont="1" applyAlignment="1">
      <alignment/>
    </xf>
    <xf numFmtId="0" fontId="3" fillId="0" borderId="0" xfId="151">
      <alignment/>
      <protection/>
    </xf>
    <xf numFmtId="43" fontId="0" fillId="0" borderId="0" xfId="0" applyNumberFormat="1" applyAlignment="1">
      <alignment/>
    </xf>
    <xf numFmtId="40" fontId="3" fillId="0" borderId="0" xfId="152" applyNumberFormat="1">
      <alignment/>
      <protection/>
    </xf>
    <xf numFmtId="0" fontId="6" fillId="0" borderId="20" xfId="0" applyFont="1" applyBorder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5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6" fillId="0" borderId="0" xfId="0" applyFont="1" applyBorder="1" applyAlignment="1" quotePrefix="1">
      <alignment horizontal="centerContinuous"/>
    </xf>
    <xf numFmtId="37" fontId="6" fillId="0" borderId="0" xfId="0" applyNumberFormat="1" applyFont="1" applyBorder="1" applyAlignment="1" quotePrefix="1">
      <alignment horizontal="centerContinuous"/>
    </xf>
    <xf numFmtId="39" fontId="4" fillId="0" borderId="0" xfId="0" applyNumberFormat="1" applyFont="1" applyAlignment="1" applyProtection="1">
      <alignment horizontal="centerContinuous"/>
      <protection/>
    </xf>
    <xf numFmtId="0" fontId="0" fillId="0" borderId="0" xfId="147">
      <alignment/>
      <protection/>
    </xf>
    <xf numFmtId="0" fontId="51" fillId="0" borderId="22" xfId="147" applyFont="1" applyFill="1" applyBorder="1" applyAlignment="1" applyProtection="1">
      <alignment vertical="center" wrapText="1"/>
      <protection/>
    </xf>
    <xf numFmtId="0" fontId="0" fillId="0" borderId="0" xfId="147" applyAlignment="1">
      <alignment horizontal="left"/>
      <protection/>
    </xf>
    <xf numFmtId="0" fontId="0" fillId="0" borderId="20" xfId="147" applyBorder="1" applyAlignment="1">
      <alignment horizontal="center"/>
      <protection/>
    </xf>
    <xf numFmtId="0" fontId="0" fillId="0" borderId="20" xfId="147" applyBorder="1">
      <alignment/>
      <protection/>
    </xf>
    <xf numFmtId="0" fontId="0" fillId="0" borderId="0" xfId="147" applyFill="1" applyAlignment="1">
      <alignment horizontal="left"/>
      <protection/>
    </xf>
    <xf numFmtId="0" fontId="0" fillId="0" borderId="0" xfId="147" applyFill="1">
      <alignment/>
      <protection/>
    </xf>
    <xf numFmtId="0" fontId="0" fillId="0" borderId="0" xfId="147" quotePrefix="1">
      <alignment/>
      <protection/>
    </xf>
    <xf numFmtId="0" fontId="3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4" fontId="8" fillId="0" borderId="0" xfId="0" applyNumberFormat="1" applyFont="1" applyAlignment="1">
      <alignment/>
    </xf>
    <xf numFmtId="164" fontId="6" fillId="0" borderId="21" xfId="96" applyNumberFormat="1" applyFont="1" applyBorder="1" applyAlignment="1">
      <alignment/>
    </xf>
    <xf numFmtId="39" fontId="4" fillId="0" borderId="0" xfId="0" applyNumberFormat="1" applyFont="1" applyBorder="1" applyAlignment="1">
      <alignment horizontal="center"/>
    </xf>
    <xf numFmtId="43" fontId="38" fillId="0" borderId="0" xfId="10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43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37" fontId="4" fillId="0" borderId="19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24" xfId="0" applyNumberFormat="1" applyFont="1" applyBorder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39" fontId="4" fillId="0" borderId="20" xfId="0" applyNumberFormat="1" applyFont="1" applyFill="1" applyBorder="1" applyAlignment="1">
      <alignment horizontal="center"/>
    </xf>
    <xf numFmtId="39" fontId="4" fillId="0" borderId="0" xfId="0" applyNumberFormat="1" applyFont="1" applyFill="1" applyBorder="1" applyAlignment="1" quotePrefix="1">
      <alignment horizontal="center"/>
    </xf>
    <xf numFmtId="39" fontId="4" fillId="0" borderId="23" xfId="0" applyNumberFormat="1" applyFont="1" applyBorder="1" applyAlignment="1" applyProtection="1" quotePrefix="1">
      <alignment horizontal="center"/>
      <protection locked="0"/>
    </xf>
    <xf numFmtId="39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9" fontId="3" fillId="0" borderId="0" xfId="0" applyNumberFormat="1" applyFont="1" applyAlignment="1" quotePrefix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Continuous"/>
    </xf>
    <xf numFmtId="37" fontId="4" fillId="0" borderId="24" xfId="0" applyNumberFormat="1" applyFont="1" applyBorder="1" applyAlignment="1">
      <alignment horizontal="centerContinuous"/>
    </xf>
    <xf numFmtId="37" fontId="4" fillId="0" borderId="19" xfId="0" applyNumberFormat="1" applyFont="1" applyBorder="1" applyAlignment="1">
      <alignment horizontal="centerContinuous"/>
    </xf>
    <xf numFmtId="39" fontId="4" fillId="0" borderId="23" xfId="0" applyNumberFormat="1" applyFon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39" fontId="3" fillId="0" borderId="0" xfId="0" applyNumberFormat="1" applyFont="1" applyAlignment="1" applyProtection="1">
      <alignment horizontal="center"/>
      <protection locked="0"/>
    </xf>
    <xf numFmtId="37" fontId="4" fillId="0" borderId="20" xfId="0" applyNumberFormat="1" applyFont="1" applyBorder="1" applyAlignment="1">
      <alignment horizontal="centerContinuous"/>
    </xf>
    <xf numFmtId="37" fontId="0" fillId="0" borderId="23" xfId="0" applyNumberFormat="1" applyBorder="1" applyAlignment="1">
      <alignment/>
    </xf>
    <xf numFmtId="164" fontId="38" fillId="0" borderId="0" xfId="101" applyNumberFormat="1" applyFont="1" applyBorder="1" applyAlignment="1">
      <alignment/>
    </xf>
    <xf numFmtId="164" fontId="38" fillId="0" borderId="20" xfId="101" applyNumberFormat="1" applyFont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NumberFormat="1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28" fillId="0" borderId="0" xfId="0" applyNumberFormat="1" applyFont="1" applyAlignment="1" applyProtection="1">
      <alignment/>
      <protection locked="0"/>
    </xf>
    <xf numFmtId="43" fontId="3" fillId="0" borderId="0" xfId="96" applyFont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3" fillId="0" borderId="0" xfId="0" applyNumberFormat="1" applyFont="1" applyAlignment="1" applyProtection="1" quotePrefix="1">
      <alignment/>
      <protection locked="0"/>
    </xf>
    <xf numFmtId="0" fontId="29" fillId="0" borderId="0" xfId="0" applyFont="1" applyBorder="1" applyAlignment="1">
      <alignment horizontal="left"/>
    </xf>
    <xf numFmtId="164" fontId="5" fillId="0" borderId="0" xfId="96" applyNumberFormat="1" applyFont="1" applyBorder="1" applyAlignment="1">
      <alignment horizontal="right"/>
    </xf>
    <xf numFmtId="39" fontId="5" fillId="0" borderId="0" xfId="0" applyNumberFormat="1" applyFont="1" applyFill="1" applyBorder="1" applyAlignment="1" quotePrefix="1">
      <alignment horizontal="right"/>
    </xf>
    <xf numFmtId="39" fontId="5" fillId="0" borderId="0" xfId="0" applyNumberFormat="1" applyFont="1" applyBorder="1" applyAlignment="1" applyProtection="1">
      <alignment horizontal="right"/>
      <protection locked="0"/>
    </xf>
    <xf numFmtId="164" fontId="4" fillId="0" borderId="0" xfId="96" applyNumberFormat="1" applyFont="1" applyBorder="1" applyAlignment="1">
      <alignment horizontal="right"/>
    </xf>
    <xf numFmtId="0" fontId="4" fillId="55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9" fontId="3" fillId="0" borderId="0" xfId="159" applyFont="1" applyBorder="1" applyAlignment="1" quotePrefix="1">
      <alignment horizontal="right"/>
    </xf>
    <xf numFmtId="9" fontId="4" fillId="0" borderId="0" xfId="159" applyFont="1" applyBorder="1" applyAlignment="1" quotePrefix="1">
      <alignment horizontal="center"/>
    </xf>
    <xf numFmtId="9" fontId="4" fillId="0" borderId="0" xfId="159" applyFont="1" applyBorder="1" applyAlignment="1" quotePrefix="1">
      <alignment horizontal="right"/>
    </xf>
    <xf numFmtId="9" fontId="0" fillId="0" borderId="0" xfId="159" applyFont="1" applyBorder="1" applyAlignment="1">
      <alignment/>
    </xf>
    <xf numFmtId="9" fontId="0" fillId="0" borderId="0" xfId="159" applyFont="1" applyBorder="1" applyAlignment="1">
      <alignment/>
    </xf>
    <xf numFmtId="9" fontId="0" fillId="0" borderId="0" xfId="159" applyFont="1" applyAlignment="1">
      <alignment/>
    </xf>
    <xf numFmtId="164" fontId="3" fillId="0" borderId="20" xfId="96" applyNumberFormat="1" applyFont="1" applyBorder="1" applyAlignment="1">
      <alignment horizontal="right"/>
    </xf>
    <xf numFmtId="164" fontId="0" fillId="0" borderId="0" xfId="96" applyNumberFormat="1" applyFont="1" applyBorder="1" applyAlignment="1">
      <alignment/>
    </xf>
    <xf numFmtId="164" fontId="0" fillId="0" borderId="20" xfId="96" applyNumberFormat="1" applyFont="1" applyBorder="1" applyAlignment="1">
      <alignment/>
    </xf>
    <xf numFmtId="164" fontId="0" fillId="0" borderId="0" xfId="96" applyNumberFormat="1" applyFont="1" applyBorder="1" applyAlignment="1">
      <alignment/>
    </xf>
    <xf numFmtId="164" fontId="6" fillId="0" borderId="0" xfId="96" applyNumberFormat="1" applyFont="1" applyBorder="1" applyAlignment="1">
      <alignment/>
    </xf>
    <xf numFmtId="164" fontId="0" fillId="0" borderId="20" xfId="96" applyNumberFormat="1" applyFont="1" applyBorder="1" applyAlignment="1">
      <alignment/>
    </xf>
    <xf numFmtId="164" fontId="6" fillId="0" borderId="20" xfId="96" applyNumberFormat="1" applyFont="1" applyBorder="1" applyAlignment="1">
      <alignment/>
    </xf>
    <xf numFmtId="164" fontId="0" fillId="0" borderId="0" xfId="96" applyNumberFormat="1" applyFont="1" applyAlignment="1">
      <alignment/>
    </xf>
    <xf numFmtId="164" fontId="26" fillId="0" borderId="0" xfId="113" applyNumberFormat="1">
      <alignment/>
      <protection/>
    </xf>
    <xf numFmtId="164" fontId="3" fillId="0" borderId="0" xfId="96" applyNumberFormat="1" applyFont="1" applyFill="1" applyBorder="1" applyAlignment="1">
      <alignment horizontal="right"/>
    </xf>
    <xf numFmtId="164" fontId="0" fillId="0" borderId="0" xfId="96" applyNumberFormat="1" applyFont="1" applyBorder="1" applyAlignment="1">
      <alignment horizontal="right"/>
    </xf>
    <xf numFmtId="43" fontId="4" fillId="0" borderId="0" xfId="96" applyFont="1" applyAlignment="1" applyProtection="1">
      <alignment/>
      <protection locked="0"/>
    </xf>
    <xf numFmtId="37" fontId="4" fillId="0" borderId="20" xfId="0" applyNumberFormat="1" applyFont="1" applyFill="1" applyBorder="1" applyAlignment="1" quotePrefix="1">
      <alignment horizontal="center"/>
    </xf>
    <xf numFmtId="39" fontId="4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4" fillId="0" borderId="25" xfId="0" applyNumberFormat="1" applyFont="1" applyBorder="1" applyAlignment="1">
      <alignment horizontal="center"/>
    </xf>
    <xf numFmtId="9" fontId="4" fillId="0" borderId="0" xfId="159" applyFont="1" applyBorder="1" applyAlignment="1">
      <alignment horizontal="right"/>
    </xf>
    <xf numFmtId="9" fontId="3" fillId="0" borderId="0" xfId="159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164" fontId="5" fillId="0" borderId="23" xfId="96" applyNumberFormat="1" applyFont="1" applyBorder="1" applyAlignment="1">
      <alignment horizontal="right"/>
    </xf>
    <xf numFmtId="39" fontId="5" fillId="0" borderId="0" xfId="0" applyNumberFormat="1" applyFont="1" applyBorder="1" applyAlignment="1">
      <alignment horizontal="right"/>
    </xf>
    <xf numFmtId="9" fontId="5" fillId="0" borderId="0" xfId="159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164" fontId="29" fillId="0" borderId="0" xfId="96" applyNumberFormat="1" applyFont="1" applyBorder="1" applyAlignment="1">
      <alignment/>
    </xf>
    <xf numFmtId="0" fontId="29" fillId="0" borderId="0" xfId="0" applyFont="1" applyBorder="1" applyAlignment="1">
      <alignment/>
    </xf>
    <xf numFmtId="164" fontId="29" fillId="0" borderId="23" xfId="96" applyNumberFormat="1" applyFont="1" applyBorder="1" applyAlignment="1">
      <alignment/>
    </xf>
    <xf numFmtId="9" fontId="5" fillId="0" borderId="0" xfId="159" applyFont="1" applyBorder="1" applyAlignment="1" quotePrefix="1">
      <alignment horizontal="right"/>
    </xf>
    <xf numFmtId="39" fontId="3" fillId="0" borderId="0" xfId="0" applyNumberFormat="1" applyFont="1" applyBorder="1" applyAlignment="1">
      <alignment/>
    </xf>
    <xf numFmtId="3" fontId="4" fillId="0" borderId="20" xfId="0" applyNumberFormat="1" applyFont="1" applyBorder="1" applyAlignment="1" quotePrefix="1">
      <alignment horizontal="center"/>
    </xf>
    <xf numFmtId="164" fontId="6" fillId="0" borderId="23" xfId="96" applyNumberFormat="1" applyFont="1" applyBorder="1" applyAlignment="1">
      <alignment/>
    </xf>
    <xf numFmtId="164" fontId="0" fillId="0" borderId="23" xfId="96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Continuous"/>
    </xf>
    <xf numFmtId="37" fontId="4" fillId="0" borderId="0" xfId="0" applyNumberFormat="1" applyFont="1" applyFill="1" applyBorder="1" applyAlignment="1" quotePrefix="1">
      <alignment horizontal="centerContinuous"/>
    </xf>
    <xf numFmtId="170" fontId="3" fillId="0" borderId="0" xfId="0" applyNumberFormat="1" applyFont="1" applyFill="1" applyBorder="1" applyAlignment="1" quotePrefix="1">
      <alignment horizontal="center"/>
    </xf>
    <xf numFmtId="39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7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right"/>
    </xf>
    <xf numFmtId="43" fontId="6" fillId="0" borderId="21" xfId="96" applyNumberFormat="1" applyFont="1" applyBorder="1" applyAlignment="1">
      <alignment/>
    </xf>
    <xf numFmtId="37" fontId="6" fillId="0" borderId="20" xfId="149" applyNumberFormat="1" applyFont="1" applyBorder="1" applyAlignment="1">
      <alignment horizontal="center"/>
      <protection/>
    </xf>
    <xf numFmtId="37" fontId="6" fillId="0" borderId="0" xfId="149" applyNumberFormat="1" applyFont="1" applyBorder="1" applyAlignment="1">
      <alignment horizontal="center"/>
      <protection/>
    </xf>
    <xf numFmtId="37" fontId="4" fillId="0" borderId="20" xfId="0" applyNumberFormat="1" applyFont="1" applyFill="1" applyBorder="1" applyAlignment="1">
      <alignment horizontal="centerContinuous"/>
    </xf>
    <xf numFmtId="0" fontId="0" fillId="0" borderId="20" xfId="0" applyBorder="1" applyAlignment="1">
      <alignment horizontal="centerContinuous"/>
    </xf>
    <xf numFmtId="164" fontId="6" fillId="0" borderId="23" xfId="96" applyNumberFormat="1" applyFont="1" applyBorder="1" applyAlignment="1">
      <alignment horizontal="right"/>
    </xf>
    <xf numFmtId="164" fontId="6" fillId="0" borderId="25" xfId="96" applyNumberFormat="1" applyFont="1" applyBorder="1" applyAlignment="1">
      <alignment/>
    </xf>
    <xf numFmtId="164" fontId="0" fillId="0" borderId="0" xfId="96" applyNumberFormat="1" applyFont="1" applyBorder="1" applyAlignment="1">
      <alignment/>
    </xf>
    <xf numFmtId="39" fontId="3" fillId="0" borderId="0" xfId="0" applyNumberFormat="1" applyFont="1" applyBorder="1" applyAlignment="1">
      <alignment horizontal="left" indent="1"/>
    </xf>
    <xf numFmtId="39" fontId="5" fillId="0" borderId="0" xfId="0" applyNumberFormat="1" applyFont="1" applyBorder="1" applyAlignment="1">
      <alignment horizontal="left"/>
    </xf>
    <xf numFmtId="164" fontId="4" fillId="0" borderId="0" xfId="96" applyNumberFormat="1" applyFont="1" applyFill="1" applyBorder="1" applyAlignment="1">
      <alignment horizontal="right"/>
    </xf>
    <xf numFmtId="164" fontId="4" fillId="0" borderId="0" xfId="96" applyNumberFormat="1" applyFont="1" applyBorder="1" applyAlignment="1" quotePrefix="1">
      <alignment horizontal="right"/>
    </xf>
    <xf numFmtId="164" fontId="5" fillId="0" borderId="0" xfId="96" applyNumberFormat="1" applyFont="1" applyFill="1" applyBorder="1" applyAlignment="1">
      <alignment horizontal="right"/>
    </xf>
    <xf numFmtId="164" fontId="4" fillId="0" borderId="0" xfId="96" applyNumberFormat="1" applyFont="1" applyBorder="1" applyAlignment="1">
      <alignment horizontal="center"/>
    </xf>
    <xf numFmtId="164" fontId="4" fillId="0" borderId="0" xfId="96" applyNumberFormat="1" applyFont="1" applyBorder="1" applyAlignment="1">
      <alignment/>
    </xf>
    <xf numFmtId="164" fontId="3" fillId="0" borderId="0" xfId="96" applyNumberFormat="1" applyFont="1" applyBorder="1" applyAlignment="1" quotePrefix="1">
      <alignment horizontal="right"/>
    </xf>
    <xf numFmtId="164" fontId="3" fillId="0" borderId="20" xfId="96" applyNumberFormat="1" applyFont="1" applyBorder="1" applyAlignment="1" quotePrefix="1">
      <alignment horizontal="right"/>
    </xf>
    <xf numFmtId="164" fontId="4" fillId="0" borderId="23" xfId="96" applyNumberFormat="1" applyFont="1" applyBorder="1" applyAlignment="1">
      <alignment horizontal="center"/>
    </xf>
    <xf numFmtId="164" fontId="4" fillId="0" borderId="0" xfId="96" applyNumberFormat="1" applyFont="1" applyBorder="1" applyAlignment="1" quotePrefix="1">
      <alignment horizontal="center"/>
    </xf>
    <xf numFmtId="164" fontId="0" fillId="0" borderId="0" xfId="96" applyNumberFormat="1" applyFont="1" applyAlignment="1">
      <alignment horizontal="right"/>
    </xf>
    <xf numFmtId="164" fontId="0" fillId="0" borderId="20" xfId="96" applyNumberFormat="1" applyFont="1" applyBorder="1" applyAlignment="1">
      <alignment horizontal="right"/>
    </xf>
    <xf numFmtId="164" fontId="4" fillId="0" borderId="23" xfId="96" applyNumberFormat="1" applyFont="1" applyFill="1" applyBorder="1" applyAlignment="1">
      <alignment horizontal="right"/>
    </xf>
    <xf numFmtId="164" fontId="0" fillId="0" borderId="23" xfId="96" applyNumberFormat="1" applyFont="1" applyBorder="1" applyAlignment="1">
      <alignment horizontal="right"/>
    </xf>
    <xf numFmtId="164" fontId="4" fillId="0" borderId="23" xfId="96" applyNumberFormat="1" applyFont="1" applyBorder="1" applyAlignment="1" quotePrefix="1">
      <alignment horizontal="right"/>
    </xf>
    <xf numFmtId="0" fontId="28" fillId="0" borderId="26" xfId="0" applyNumberFormat="1" applyFon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/>
      <protection locked="0"/>
    </xf>
    <xf numFmtId="0" fontId="3" fillId="0" borderId="27" xfId="0" applyNumberFormat="1" applyFon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29" xfId="0" applyNumberFormat="1" applyFont="1" applyBorder="1" applyAlignment="1" applyProtection="1">
      <alignment horizontal="center"/>
      <protection locked="0"/>
    </xf>
    <xf numFmtId="0" fontId="0" fillId="0" borderId="28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30" xfId="0" applyNumberFormat="1" applyFont="1" applyBorder="1" applyAlignment="1" applyProtection="1">
      <alignment/>
      <protection locked="0"/>
    </xf>
    <xf numFmtId="164" fontId="3" fillId="0" borderId="20" xfId="96" applyNumberFormat="1" applyFont="1" applyBorder="1" applyAlignment="1" applyProtection="1">
      <alignment/>
      <protection locked="0"/>
    </xf>
    <xf numFmtId="164" fontId="3" fillId="0" borderId="31" xfId="96" applyNumberFormat="1" applyFont="1" applyBorder="1" applyAlignment="1" applyProtection="1">
      <alignment/>
      <protection locked="0"/>
    </xf>
    <xf numFmtId="164" fontId="3" fillId="0" borderId="29" xfId="96" applyNumberFormat="1" applyFont="1" applyBorder="1" applyAlignment="1" applyProtection="1">
      <alignment/>
      <protection locked="0"/>
    </xf>
    <xf numFmtId="164" fontId="3" fillId="0" borderId="0" xfId="96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26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 quotePrefix="1">
      <alignment horizontal="center"/>
      <protection locked="0"/>
    </xf>
    <xf numFmtId="37" fontId="3" fillId="0" borderId="28" xfId="0" applyNumberFormat="1" applyFont="1" applyBorder="1" applyAlignment="1" applyProtection="1">
      <alignment/>
      <protection locked="0"/>
    </xf>
    <xf numFmtId="164" fontId="3" fillId="0" borderId="0" xfId="96" applyNumberFormat="1" applyFont="1" applyBorder="1" applyAlignment="1" applyProtection="1">
      <alignment/>
      <protection locked="0"/>
    </xf>
    <xf numFmtId="0" fontId="3" fillId="0" borderId="20" xfId="0" applyNumberFormat="1" applyFont="1" applyBorder="1" applyAlignment="1" applyProtection="1">
      <alignment/>
      <protection locked="0"/>
    </xf>
    <xf numFmtId="3" fontId="4" fillId="0" borderId="23" xfId="0" applyNumberFormat="1" applyFont="1" applyBorder="1" applyAlignment="1" applyProtection="1">
      <alignment horizontal="center"/>
      <protection locked="0"/>
    </xf>
    <xf numFmtId="37" fontId="4" fillId="0" borderId="23" xfId="0" applyNumberFormat="1" applyFont="1" applyBorder="1" applyAlignment="1" applyProtection="1">
      <alignment horizontal="center"/>
      <protection locked="0"/>
    </xf>
    <xf numFmtId="3" fontId="4" fillId="0" borderId="32" xfId="0" applyNumberFormat="1" applyFont="1" applyBorder="1" applyAlignment="1" applyProtection="1">
      <alignment horizontal="center"/>
      <protection locked="0"/>
    </xf>
    <xf numFmtId="3" fontId="4" fillId="0" borderId="33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 applyProtection="1">
      <alignment/>
      <protection locked="0"/>
    </xf>
    <xf numFmtId="37" fontId="3" fillId="0" borderId="33" xfId="0" applyNumberFormat="1" applyFont="1" applyBorder="1" applyAlignment="1" applyProtection="1">
      <alignment/>
      <protection locked="0"/>
    </xf>
    <xf numFmtId="0" fontId="3" fillId="0" borderId="34" xfId="0" applyNumberFormat="1" applyFont="1" applyBorder="1" applyAlignment="1" applyProtection="1">
      <alignment/>
      <protection locked="0"/>
    </xf>
    <xf numFmtId="37" fontId="4" fillId="0" borderId="32" xfId="0" applyNumberFormat="1" applyFont="1" applyBorder="1" applyAlignment="1" applyProtection="1">
      <alignment horizontal="center"/>
      <protection locked="0"/>
    </xf>
    <xf numFmtId="0" fontId="4" fillId="0" borderId="33" xfId="0" applyNumberFormat="1" applyFont="1" applyBorder="1" applyAlignment="1" applyProtection="1" quotePrefix="1">
      <alignment horizontal="center"/>
      <protection locked="0"/>
    </xf>
    <xf numFmtId="164" fontId="3" fillId="0" borderId="33" xfId="96" applyNumberFormat="1" applyFont="1" applyBorder="1" applyAlignment="1" applyProtection="1">
      <alignment/>
      <protection locked="0"/>
    </xf>
    <xf numFmtId="164" fontId="3" fillId="0" borderId="34" xfId="96" applyNumberFormat="1" applyFont="1" applyBorder="1" applyAlignment="1" applyProtection="1">
      <alignment/>
      <protection locked="0"/>
    </xf>
    <xf numFmtId="0" fontId="4" fillId="0" borderId="32" xfId="0" applyNumberFormat="1" applyFont="1" applyBorder="1" applyAlignment="1" applyProtection="1">
      <alignment horizontal="center"/>
      <protection locked="0"/>
    </xf>
    <xf numFmtId="0" fontId="4" fillId="0" borderId="33" xfId="0" applyNumberFormat="1" applyFont="1" applyBorder="1" applyAlignment="1" applyProtection="1">
      <alignment horizontal="center"/>
      <protection locked="0"/>
    </xf>
    <xf numFmtId="164" fontId="3" fillId="0" borderId="33" xfId="0" applyNumberFormat="1" applyFont="1" applyBorder="1" applyAlignment="1" applyProtection="1">
      <alignment/>
      <protection locked="0"/>
    </xf>
    <xf numFmtId="0" fontId="4" fillId="0" borderId="35" xfId="0" applyNumberFormat="1" applyFont="1" applyBorder="1" applyAlignment="1" applyProtection="1" quotePrefix="1">
      <alignment horizontal="center"/>
      <protection locked="0"/>
    </xf>
    <xf numFmtId="0" fontId="4" fillId="0" borderId="25" xfId="0" applyNumberFormat="1" applyFont="1" applyBorder="1" applyAlignment="1" applyProtection="1" quotePrefix="1">
      <alignment horizontal="center"/>
      <protection locked="0"/>
    </xf>
    <xf numFmtId="37" fontId="3" fillId="0" borderId="34" xfId="0" applyNumberFormat="1" applyFont="1" applyBorder="1" applyAlignment="1" applyProtection="1">
      <alignment/>
      <protection locked="0"/>
    </xf>
    <xf numFmtId="164" fontId="3" fillId="0" borderId="34" xfId="0" applyNumberFormat="1" applyFont="1" applyBorder="1" applyAlignment="1" applyProtection="1">
      <alignment/>
      <protection locked="0"/>
    </xf>
    <xf numFmtId="43" fontId="3" fillId="0" borderId="33" xfId="96" applyNumberFormat="1" applyFont="1" applyBorder="1" applyAlignment="1" applyProtection="1">
      <alignment/>
      <protection locked="0"/>
    </xf>
    <xf numFmtId="43" fontId="3" fillId="0" borderId="34" xfId="96" applyNumberFormat="1" applyFont="1" applyBorder="1" applyAlignment="1" applyProtection="1">
      <alignment/>
      <protection locked="0"/>
    </xf>
    <xf numFmtId="0" fontId="3" fillId="0" borderId="25" xfId="0" applyNumberFormat="1" applyFont="1" applyBorder="1" applyAlignment="1" applyProtection="1">
      <alignment/>
      <protection locked="0"/>
    </xf>
    <xf numFmtId="164" fontId="3" fillId="0" borderId="32" xfId="96" applyNumberFormat="1" applyFont="1" applyBorder="1" applyAlignment="1" applyProtection="1">
      <alignment/>
      <protection locked="0"/>
    </xf>
    <xf numFmtId="0" fontId="3" fillId="0" borderId="32" xfId="0" applyNumberFormat="1" applyFont="1" applyBorder="1" applyAlignment="1" applyProtection="1">
      <alignment/>
      <protection locked="0"/>
    </xf>
    <xf numFmtId="3" fontId="4" fillId="0" borderId="34" xfId="0" applyNumberFormat="1" applyFont="1" applyBorder="1" applyAlignment="1" applyProtection="1">
      <alignment horizontal="center"/>
      <protection locked="0"/>
    </xf>
    <xf numFmtId="0" fontId="4" fillId="0" borderId="34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 quotePrefix="1">
      <alignment horizontal="center"/>
      <protection locked="0"/>
    </xf>
    <xf numFmtId="0" fontId="4" fillId="0" borderId="34" xfId="0" applyNumberFormat="1" applyFont="1" applyBorder="1" applyAlignment="1" applyProtection="1" quotePrefix="1">
      <alignment horizontal="center"/>
      <protection locked="0"/>
    </xf>
    <xf numFmtId="164" fontId="3" fillId="0" borderId="20" xfId="0" applyNumberFormat="1" applyFont="1" applyBorder="1" applyAlignment="1" applyProtection="1">
      <alignment/>
      <protection locked="0"/>
    </xf>
    <xf numFmtId="0" fontId="4" fillId="0" borderId="20" xfId="0" applyNumberFormat="1" applyFont="1" applyBorder="1" applyAlignment="1" applyProtection="1">
      <alignment horizontal="center"/>
      <protection locked="0"/>
    </xf>
    <xf numFmtId="164" fontId="3" fillId="0" borderId="35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0" fontId="4" fillId="0" borderId="28" xfId="0" applyNumberFormat="1" applyFont="1" applyBorder="1" applyAlignment="1" applyProtection="1">
      <alignment/>
      <protection locked="0"/>
    </xf>
    <xf numFmtId="0" fontId="4" fillId="0" borderId="35" xfId="0" applyNumberFormat="1" applyFont="1" applyBorder="1" applyAlignment="1" applyProtection="1">
      <alignment/>
      <protection locked="0"/>
    </xf>
    <xf numFmtId="0" fontId="4" fillId="0" borderId="33" xfId="0" applyNumberFormat="1" applyFont="1" applyBorder="1" applyAlignment="1" applyProtection="1">
      <alignment/>
      <protection locked="0"/>
    </xf>
    <xf numFmtId="0" fontId="28" fillId="0" borderId="33" xfId="0" applyNumberFormat="1" applyFont="1" applyBorder="1" applyAlignment="1" applyProtection="1">
      <alignment/>
      <protection locked="0"/>
    </xf>
    <xf numFmtId="164" fontId="3" fillId="0" borderId="28" xfId="96" applyNumberFormat="1" applyFont="1" applyBorder="1" applyAlignment="1" applyProtection="1">
      <alignment/>
      <protection locked="0"/>
    </xf>
    <xf numFmtId="37" fontId="3" fillId="0" borderId="32" xfId="0" applyNumberFormat="1" applyFont="1" applyBorder="1" applyAlignment="1" applyProtection="1">
      <alignment/>
      <protection locked="0"/>
    </xf>
    <xf numFmtId="0" fontId="3" fillId="0" borderId="36" xfId="0" applyNumberFormat="1" applyFont="1" applyBorder="1" applyAlignment="1" applyProtection="1">
      <alignment/>
      <protection locked="0"/>
    </xf>
    <xf numFmtId="164" fontId="3" fillId="56" borderId="33" xfId="0" applyNumberFormat="1" applyFont="1" applyFill="1" applyBorder="1" applyAlignment="1" applyProtection="1">
      <alignment/>
      <protection locked="0"/>
    </xf>
    <xf numFmtId="164" fontId="3" fillId="56" borderId="0" xfId="0" applyNumberFormat="1" applyFont="1" applyFill="1" applyBorder="1" applyAlignment="1" applyProtection="1">
      <alignment/>
      <protection locked="0"/>
    </xf>
    <xf numFmtId="0" fontId="28" fillId="0" borderId="28" xfId="0" applyNumberFormat="1" applyFont="1" applyBorder="1" applyAlignment="1" applyProtection="1">
      <alignment/>
      <protection locked="0"/>
    </xf>
    <xf numFmtId="43" fontId="3" fillId="0" borderId="33" xfId="96" applyNumberFormat="1" applyFont="1" applyBorder="1" applyAlignment="1" applyProtection="1">
      <alignment horizontal="center"/>
      <protection locked="0"/>
    </xf>
    <xf numFmtId="43" fontId="3" fillId="0" borderId="34" xfId="96" applyNumberFormat="1" applyFont="1" applyBorder="1" applyAlignment="1" applyProtection="1">
      <alignment horizontal="center"/>
      <protection locked="0"/>
    </xf>
    <xf numFmtId="0" fontId="4" fillId="0" borderId="34" xfId="0" applyNumberFormat="1" applyFont="1" applyBorder="1" applyAlignment="1" applyProtection="1">
      <alignment/>
      <protection locked="0"/>
    </xf>
    <xf numFmtId="37" fontId="3" fillId="0" borderId="30" xfId="0" applyNumberFormat="1" applyFont="1" applyBorder="1" applyAlignment="1" applyProtection="1">
      <alignment/>
      <protection locked="0"/>
    </xf>
    <xf numFmtId="164" fontId="3" fillId="0" borderId="25" xfId="96" applyNumberFormat="1" applyFont="1" applyBorder="1" applyAlignment="1" applyProtection="1">
      <alignment/>
      <protection locked="0"/>
    </xf>
    <xf numFmtId="43" fontId="3" fillId="0" borderId="20" xfId="96" applyNumberFormat="1" applyFont="1" applyBorder="1" applyAlignment="1" applyProtection="1">
      <alignment/>
      <protection locked="0"/>
    </xf>
    <xf numFmtId="43" fontId="3" fillId="0" borderId="36" xfId="96" applyNumberFormat="1" applyFont="1" applyBorder="1" applyAlignment="1" applyProtection="1">
      <alignment horizontal="center"/>
      <protection locked="0"/>
    </xf>
    <xf numFmtId="0" fontId="3" fillId="0" borderId="31" xfId="0" applyNumberFormat="1" applyFont="1" applyBorder="1" applyAlignment="1" applyProtection="1">
      <alignment/>
      <protection locked="0"/>
    </xf>
    <xf numFmtId="39" fontId="3" fillId="0" borderId="0" xfId="0" applyNumberFormat="1" applyFont="1" applyFill="1" applyBorder="1" applyAlignment="1">
      <alignment horizontal="center"/>
    </xf>
    <xf numFmtId="39" fontId="6" fillId="0" borderId="0" xfId="0" applyNumberFormat="1" applyFont="1" applyBorder="1" applyAlignment="1">
      <alignment/>
    </xf>
    <xf numFmtId="164" fontId="0" fillId="0" borderId="0" xfId="96" applyNumberFormat="1" applyFont="1" applyBorder="1" applyAlignment="1">
      <alignment horizontal="right"/>
    </xf>
    <xf numFmtId="164" fontId="0" fillId="0" borderId="20" xfId="96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37" fontId="6" fillId="0" borderId="20" xfId="0" applyNumberFormat="1" applyFont="1" applyBorder="1" applyAlignment="1">
      <alignment/>
    </xf>
    <xf numFmtId="39" fontId="0" fillId="0" borderId="0" xfId="0" applyNumberFormat="1" applyFont="1" applyBorder="1" applyAlignment="1">
      <alignment horizontal="center"/>
    </xf>
    <xf numFmtId="37" fontId="4" fillId="0" borderId="20" xfId="0" applyNumberFormat="1" applyFont="1" applyFill="1" applyBorder="1" applyAlignment="1">
      <alignment horizontal="center"/>
    </xf>
    <xf numFmtId="39" fontId="4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164" fontId="3" fillId="0" borderId="25" xfId="96" applyNumberFormat="1" applyFont="1" applyBorder="1" applyAlignment="1">
      <alignment horizontal="right"/>
    </xf>
    <xf numFmtId="37" fontId="4" fillId="0" borderId="25" xfId="0" applyNumberFormat="1" applyFont="1" applyFill="1" applyBorder="1" applyAlignment="1">
      <alignment horizontal="center"/>
    </xf>
    <xf numFmtId="39" fontId="3" fillId="0" borderId="25" xfId="0" applyNumberFormat="1" applyFont="1" applyFill="1" applyBorder="1" applyAlignment="1">
      <alignment horizontal="center"/>
    </xf>
    <xf numFmtId="39" fontId="4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 horizontal="left"/>
    </xf>
    <xf numFmtId="37" fontId="4" fillId="0" borderId="21" xfId="0" applyNumberFormat="1" applyFont="1" applyFill="1" applyBorder="1" applyAlignment="1">
      <alignment horizontal="center"/>
    </xf>
    <xf numFmtId="39" fontId="4" fillId="0" borderId="21" xfId="0" applyNumberFormat="1" applyFont="1" applyBorder="1" applyAlignment="1">
      <alignment/>
    </xf>
    <xf numFmtId="39" fontId="4" fillId="0" borderId="21" xfId="0" applyNumberFormat="1" applyFont="1" applyFill="1" applyBorder="1" applyAlignment="1">
      <alignment horizontal="center"/>
    </xf>
    <xf numFmtId="10" fontId="3" fillId="0" borderId="0" xfId="159" applyNumberFormat="1" applyFont="1" applyFill="1" applyBorder="1" applyAlignment="1">
      <alignment horizontal="center"/>
    </xf>
    <xf numFmtId="10" fontId="3" fillId="0" borderId="25" xfId="159" applyNumberFormat="1" applyFont="1" applyFill="1" applyBorder="1" applyAlignment="1">
      <alignment horizontal="center"/>
    </xf>
    <xf numFmtId="176" fontId="4" fillId="0" borderId="21" xfId="106" applyNumberFormat="1" applyFont="1" applyFill="1" applyBorder="1" applyAlignment="1">
      <alignment horizontal="center"/>
    </xf>
    <xf numFmtId="176" fontId="4" fillId="0" borderId="21" xfId="106" applyNumberFormat="1" applyFont="1" applyBorder="1" applyAlignment="1">
      <alignment horizontal="right"/>
    </xf>
    <xf numFmtId="175" fontId="3" fillId="0" borderId="0" xfId="159" applyNumberFormat="1" applyFont="1" applyBorder="1" applyAlignment="1" quotePrefix="1">
      <alignment horizontal="center"/>
    </xf>
    <xf numFmtId="175" fontId="3" fillId="0" borderId="20" xfId="159" applyNumberFormat="1" applyFont="1" applyBorder="1" applyAlignment="1" quotePrefix="1">
      <alignment horizontal="center"/>
    </xf>
    <xf numFmtId="39" fontId="4" fillId="57" borderId="0" xfId="0" applyNumberFormat="1" applyFont="1" applyFill="1" applyAlignment="1">
      <alignment horizontal="center"/>
    </xf>
    <xf numFmtId="165" fontId="4" fillId="57" borderId="0" xfId="0" applyNumberFormat="1" applyFont="1" applyFill="1" applyAlignment="1">
      <alignment horizontal="center"/>
    </xf>
    <xf numFmtId="39" fontId="4" fillId="57" borderId="0" xfId="0" applyNumberFormat="1" applyFont="1" applyFill="1" applyAlignment="1">
      <alignment/>
    </xf>
    <xf numFmtId="3" fontId="4" fillId="57" borderId="0" xfId="0" applyNumberFormat="1" applyFont="1" applyFill="1" applyAlignment="1">
      <alignment horizontal="center"/>
    </xf>
    <xf numFmtId="37" fontId="4" fillId="57" borderId="0" xfId="0" applyNumberFormat="1" applyFont="1" applyFill="1" applyBorder="1" applyAlignment="1">
      <alignment horizontal="center"/>
    </xf>
    <xf numFmtId="39" fontId="4" fillId="57" borderId="0" xfId="0" applyNumberFormat="1" applyFont="1" applyFill="1" applyAlignment="1">
      <alignment horizontal="centerContinuous"/>
    </xf>
    <xf numFmtId="165" fontId="4" fillId="57" borderId="0" xfId="0" applyNumberFormat="1" applyFont="1" applyFill="1" applyAlignment="1">
      <alignment horizontal="centerContinuous"/>
    </xf>
    <xf numFmtId="3" fontId="4" fillId="57" borderId="20" xfId="0" applyNumberFormat="1" applyFont="1" applyFill="1" applyBorder="1" applyAlignment="1" quotePrefix="1">
      <alignment horizontal="center"/>
    </xf>
    <xf numFmtId="37" fontId="4" fillId="57" borderId="0" xfId="0" applyNumberFormat="1" applyFont="1" applyFill="1" applyBorder="1" applyAlignment="1" quotePrefix="1">
      <alignment horizontal="center"/>
    </xf>
    <xf numFmtId="3" fontId="4" fillId="57" borderId="20" xfId="0" applyNumberFormat="1" applyFont="1" applyFill="1" applyBorder="1" applyAlignment="1">
      <alignment horizontal="center"/>
    </xf>
    <xf numFmtId="37" fontId="4" fillId="57" borderId="20" xfId="0" applyNumberFormat="1" applyFont="1" applyFill="1" applyBorder="1" applyAlignment="1" quotePrefix="1">
      <alignment horizontal="center"/>
    </xf>
    <xf numFmtId="37" fontId="4" fillId="57" borderId="20" xfId="150" applyNumberFormat="1" applyFont="1" applyFill="1" applyBorder="1" applyAlignment="1">
      <alignment horizontal="center"/>
      <protection/>
    </xf>
    <xf numFmtId="0" fontId="0" fillId="57" borderId="0" xfId="0" applyFill="1" applyAlignment="1">
      <alignment/>
    </xf>
    <xf numFmtId="37" fontId="4" fillId="57" borderId="0" xfId="0" applyNumberFormat="1" applyFont="1" applyFill="1" applyAlignment="1">
      <alignment horizontal="center"/>
    </xf>
    <xf numFmtId="39" fontId="4" fillId="57" borderId="19" xfId="0" applyNumberFormat="1" applyFont="1" applyFill="1" applyBorder="1" applyAlignment="1">
      <alignment horizontal="centerContinuous"/>
    </xf>
    <xf numFmtId="165" fontId="4" fillId="57" borderId="19" xfId="0" applyNumberFormat="1" applyFont="1" applyFill="1" applyBorder="1" applyAlignment="1">
      <alignment horizontal="centerContinuous"/>
    </xf>
    <xf numFmtId="3" fontId="4" fillId="57" borderId="0" xfId="0" applyNumberFormat="1" applyFont="1" applyFill="1" applyBorder="1" applyAlignment="1" quotePrefix="1">
      <alignment horizontal="center"/>
    </xf>
    <xf numFmtId="3" fontId="4" fillId="57" borderId="19" xfId="0" applyNumberFormat="1" applyFont="1" applyFill="1" applyBorder="1" applyAlignment="1" quotePrefix="1">
      <alignment horizontal="center"/>
    </xf>
    <xf numFmtId="39" fontId="4" fillId="57" borderId="0" xfId="0" applyNumberFormat="1" applyFont="1" applyFill="1" applyBorder="1" applyAlignment="1" quotePrefix="1">
      <alignment horizontal="center"/>
    </xf>
    <xf numFmtId="37" fontId="4" fillId="57" borderId="19" xfId="0" applyNumberFormat="1" applyFont="1" applyFill="1" applyBorder="1" applyAlignment="1" quotePrefix="1">
      <alignment horizontal="center"/>
    </xf>
    <xf numFmtId="175" fontId="4" fillId="0" borderId="21" xfId="159" applyNumberFormat="1" applyFont="1" applyBorder="1" applyAlignment="1" quotePrefix="1">
      <alignment horizontal="center"/>
    </xf>
    <xf numFmtId="37" fontId="32" fillId="0" borderId="0" xfId="0" applyNumberFormat="1" applyFont="1" applyFill="1" applyBorder="1" applyAlignment="1">
      <alignment horizontal="center"/>
    </xf>
    <xf numFmtId="175" fontId="3" fillId="0" borderId="0" xfId="159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96" applyFont="1" applyFill="1" applyAlignment="1">
      <alignment/>
    </xf>
    <xf numFmtId="3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164" fontId="3" fillId="0" borderId="0" xfId="106" applyNumberFormat="1" applyFont="1" applyBorder="1" applyAlignment="1">
      <alignment horizontal="right"/>
    </xf>
    <xf numFmtId="164" fontId="3" fillId="0" borderId="0" xfId="150" applyNumberFormat="1" applyFont="1" applyBorder="1" applyAlignment="1">
      <alignment horizontal="center"/>
      <protection/>
    </xf>
    <xf numFmtId="164" fontId="3" fillId="0" borderId="20" xfId="150" applyNumberFormat="1" applyFont="1" applyBorder="1" applyAlignment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 locked="0"/>
    </xf>
    <xf numFmtId="37" fontId="4" fillId="57" borderId="0" xfId="150" applyNumberFormat="1" applyFont="1" applyFill="1" applyAlignment="1">
      <alignment horizontal="center"/>
      <protection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26" xfId="0" applyNumberFormat="1" applyFont="1" applyBorder="1" applyAlignment="1" applyProtection="1">
      <alignment horizontal="center"/>
      <protection locked="0"/>
    </xf>
    <xf numFmtId="0" fontId="4" fillId="0" borderId="27" xfId="0" applyNumberFormat="1" applyFont="1" applyBorder="1" applyAlignment="1" applyProtection="1">
      <alignment horizontal="center"/>
      <protection locked="0"/>
    </xf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29" xfId="0" applyNumberFormat="1" applyFont="1" applyBorder="1" applyAlignment="1" applyProtection="1">
      <alignment horizontal="center"/>
      <protection locked="0"/>
    </xf>
    <xf numFmtId="0" fontId="4" fillId="0" borderId="37" xfId="0" applyNumberFormat="1" applyFont="1" applyBorder="1" applyAlignment="1" applyProtection="1">
      <alignment horizontal="center"/>
      <protection locked="0"/>
    </xf>
    <xf numFmtId="0" fontId="4" fillId="0" borderId="25" xfId="0" applyNumberFormat="1" applyFont="1" applyBorder="1" applyAlignment="1" applyProtection="1">
      <alignment horizontal="center"/>
      <protection locked="0"/>
    </xf>
    <xf numFmtId="0" fontId="4" fillId="0" borderId="36" xfId="0" applyNumberFormat="1" applyFont="1" applyBorder="1" applyAlignment="1" applyProtection="1">
      <alignment horizontal="center"/>
      <protection locked="0"/>
    </xf>
  </cellXfs>
  <cellStyles count="15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3" xfId="101"/>
    <cellStyle name="Comma 3 2" xfId="102"/>
    <cellStyle name="Comma 4" xfId="103"/>
    <cellStyle name="Comma 5" xfId="104"/>
    <cellStyle name="Comma 5 2" xfId="105"/>
    <cellStyle name="Currency" xfId="106"/>
    <cellStyle name="Currency [0]" xfId="107"/>
    <cellStyle name="Currency 2" xfId="108"/>
    <cellStyle name="Currency 2 2" xfId="109"/>
    <cellStyle name="Explanatory Text" xfId="110"/>
    <cellStyle name="Explanatory Text 2" xfId="111"/>
    <cellStyle name="Explanatory Text 3" xfId="112"/>
    <cellStyle name="FRxAmtStyle" xfId="113"/>
    <cellStyle name="FRxCurrStyle" xfId="114"/>
    <cellStyle name="FRxPcntStyle" xfId="115"/>
    <cellStyle name="Good" xfId="116"/>
    <cellStyle name="Good 2" xfId="117"/>
    <cellStyle name="Good 3" xfId="118"/>
    <cellStyle name="Heading 1" xfId="119"/>
    <cellStyle name="Heading 1 2" xfId="120"/>
    <cellStyle name="Heading 1 3" xfId="121"/>
    <cellStyle name="Heading 2" xfId="122"/>
    <cellStyle name="Heading 2 2" xfId="123"/>
    <cellStyle name="Heading 2 3" xfId="124"/>
    <cellStyle name="Heading 3" xfId="125"/>
    <cellStyle name="Heading 3 2" xfId="126"/>
    <cellStyle name="Heading 3 3" xfId="127"/>
    <cellStyle name="Heading 4" xfId="128"/>
    <cellStyle name="Heading 4 2" xfId="129"/>
    <cellStyle name="Heading 4 3" xfId="130"/>
    <cellStyle name="Input" xfId="131"/>
    <cellStyle name="Input 2" xfId="132"/>
    <cellStyle name="Input 3" xfId="133"/>
    <cellStyle name="Linked Cell" xfId="134"/>
    <cellStyle name="Linked Cell 2" xfId="135"/>
    <cellStyle name="Linked Cell 3" xfId="136"/>
    <cellStyle name="Neutral" xfId="137"/>
    <cellStyle name="Neutral 2" xfId="138"/>
    <cellStyle name="Neutral 3" xfId="139"/>
    <cellStyle name="Normal 2" xfId="140"/>
    <cellStyle name="Normal 2 2" xfId="141"/>
    <cellStyle name="Normal 2 2 2" xfId="142"/>
    <cellStyle name="Normal 2 3" xfId="143"/>
    <cellStyle name="Normal 2 3 2" xfId="144"/>
    <cellStyle name="Normal 3" xfId="145"/>
    <cellStyle name="Normal 4" xfId="146"/>
    <cellStyle name="Normal 5" xfId="147"/>
    <cellStyle name="Normal 5 2" xfId="148"/>
    <cellStyle name="Normal 6" xfId="149"/>
    <cellStyle name="Normal_5 Yr RmLf True" xfId="150"/>
    <cellStyle name="Normal_DeprLot09" xfId="151"/>
    <cellStyle name="Normal_TableB_1" xfId="152"/>
    <cellStyle name="Note" xfId="153"/>
    <cellStyle name="Note 2" xfId="154"/>
    <cellStyle name="Note 3" xfId="155"/>
    <cellStyle name="Output" xfId="156"/>
    <cellStyle name="Output 2" xfId="157"/>
    <cellStyle name="Output 3" xfId="158"/>
    <cellStyle name="Percent" xfId="159"/>
    <cellStyle name="Percent 2" xfId="160"/>
    <cellStyle name="STYLE1" xfId="161"/>
    <cellStyle name="STYLE2" xfId="162"/>
    <cellStyle name="Title" xfId="163"/>
    <cellStyle name="Title 2" xfId="164"/>
    <cellStyle name="Title 3" xfId="165"/>
    <cellStyle name="Total" xfId="166"/>
    <cellStyle name="Total 2" xfId="167"/>
    <cellStyle name="Total 3" xfId="168"/>
    <cellStyle name="Warning Text" xfId="169"/>
    <cellStyle name="Warning Text 2" xfId="170"/>
    <cellStyle name="Warning Text 3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tabSelected="1" zoomScale="90" zoomScaleNormal="90" zoomScaleSheetLayoutView="70" zoomScalePageLayoutView="0" workbookViewId="0" topLeftCell="A1">
      <pane ySplit="9" topLeftCell="A25" activePane="bottomLeft" state="frozen"/>
      <selection pane="topLeft" activeCell="Y26" sqref="Y26"/>
      <selection pane="bottomLeft" activeCell="AF35" sqref="AF35"/>
    </sheetView>
  </sheetViews>
  <sheetFormatPr defaultColWidth="9.140625" defaultRowHeight="12.75" customHeight="1" outlineLevelRow="1" outlineLevelCol="1"/>
  <cols>
    <col min="1" max="1" width="9.00390625" style="25" hidden="1" customWidth="1" outlineLevel="1"/>
    <col min="2" max="2" width="2.28125" style="25" hidden="1" customWidth="1" outlineLevel="1"/>
    <col min="3" max="3" width="16.28125" style="25" hidden="1" customWidth="1" outlineLevel="1"/>
    <col min="4" max="4" width="3.140625" style="25" hidden="1" customWidth="1" outlineLevel="1"/>
    <col min="5" max="5" width="2.28125" style="28" customWidth="1" collapsed="1"/>
    <col min="6" max="6" width="7.00390625" style="26" customWidth="1"/>
    <col min="7" max="7" width="0.85546875" style="26" customWidth="1"/>
    <col min="8" max="8" width="24.8515625" style="25" customWidth="1"/>
    <col min="9" max="9" width="2.28125" style="25" customWidth="1"/>
    <col min="10" max="10" width="13.140625" style="25" customWidth="1"/>
    <col min="11" max="11" width="2.28125" style="25" customWidth="1"/>
    <col min="12" max="12" width="6.00390625" style="25" customWidth="1"/>
    <col min="13" max="13" width="1.28515625" style="25" customWidth="1"/>
    <col min="14" max="14" width="5.421875" style="25" customWidth="1"/>
    <col min="15" max="15" width="2.28125" style="25" customWidth="1"/>
    <col min="16" max="16" width="9.8515625" style="46" bestFit="1" customWidth="1"/>
    <col min="17" max="17" width="2.28125" style="25" customWidth="1"/>
    <col min="18" max="18" width="16.140625" style="23" bestFit="1" customWidth="1"/>
    <col min="19" max="19" width="2.28125" style="25" customWidth="1"/>
    <col min="20" max="20" width="14.140625" style="23" bestFit="1" customWidth="1"/>
    <col min="21" max="21" width="2.28125" style="25" customWidth="1"/>
    <col min="22" max="22" width="10.00390625" style="35" customWidth="1"/>
    <col min="23" max="23" width="2.28125" style="25" customWidth="1"/>
    <col min="24" max="24" width="15.28125" style="23" bestFit="1" customWidth="1"/>
    <col min="25" max="26" width="9.140625" style="25" customWidth="1"/>
    <col min="27" max="27" width="14.7109375" style="25" hidden="1" customWidth="1" outlineLevel="1"/>
    <col min="28" max="28" width="14.57421875" style="25" hidden="1" customWidth="1" outlineLevel="1"/>
    <col min="29" max="29" width="3.7109375" style="25" hidden="1" customWidth="1" outlineLevel="1"/>
    <col min="30" max="31" width="10.00390625" style="25" hidden="1" customWidth="1" outlineLevel="1"/>
    <col min="32" max="32" width="9.140625" style="25" customWidth="1" collapsed="1"/>
    <col min="33" max="16384" width="9.140625" style="25" customWidth="1"/>
  </cols>
  <sheetData>
    <row r="1" spans="5:24" ht="12.75" customHeight="1">
      <c r="E1" s="129" t="s">
        <v>28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5:24" ht="12.75" customHeight="1"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5:24" ht="12.75" customHeight="1">
      <c r="E3" s="2" t="s">
        <v>270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5:24" ht="12.75" customHeight="1">
      <c r="E4" s="130" t="s">
        <v>321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5:24" ht="12.75" customHeight="1">
      <c r="E5" s="141"/>
      <c r="F5" s="142"/>
      <c r="G5" s="141"/>
      <c r="H5" s="143"/>
      <c r="I5" s="1"/>
      <c r="J5" s="10"/>
      <c r="K5" s="1"/>
      <c r="L5" s="19"/>
      <c r="M5" s="1"/>
      <c r="N5" s="1"/>
      <c r="O5" s="1"/>
      <c r="P5" s="44"/>
      <c r="Q5" s="1"/>
      <c r="R5" s="29"/>
      <c r="S5" s="20"/>
      <c r="T5" s="33"/>
      <c r="U5" s="1"/>
      <c r="V5" s="36"/>
      <c r="W5" s="1"/>
      <c r="X5" s="29"/>
    </row>
    <row r="6" spans="5:24" ht="12.75" customHeight="1">
      <c r="E6" s="133"/>
      <c r="F6" s="144"/>
      <c r="G6" s="133"/>
      <c r="H6" s="133"/>
      <c r="I6" s="3"/>
      <c r="J6" s="8" t="s">
        <v>174</v>
      </c>
      <c r="K6" s="3"/>
      <c r="L6" s="146" t="s">
        <v>177</v>
      </c>
      <c r="M6" s="146"/>
      <c r="N6" s="146"/>
      <c r="O6" s="3"/>
      <c r="P6" s="135" t="s">
        <v>181</v>
      </c>
      <c r="Q6" s="3"/>
      <c r="R6" s="32"/>
      <c r="S6" s="17"/>
      <c r="T6" s="32" t="s">
        <v>184</v>
      </c>
      <c r="U6" s="3"/>
      <c r="V6" s="137" t="s">
        <v>184</v>
      </c>
      <c r="W6" s="1"/>
      <c r="X6" s="11" t="s">
        <v>188</v>
      </c>
    </row>
    <row r="7" spans="5:27" ht="12.75">
      <c r="E7" s="133"/>
      <c r="F7" s="144"/>
      <c r="G7" s="133"/>
      <c r="H7" s="133"/>
      <c r="I7" s="3"/>
      <c r="J7" s="8" t="s">
        <v>175</v>
      </c>
      <c r="K7" s="3"/>
      <c r="L7" s="146" t="s">
        <v>178</v>
      </c>
      <c r="M7" s="146"/>
      <c r="N7" s="146"/>
      <c r="O7" s="3"/>
      <c r="P7" s="135" t="s">
        <v>182</v>
      </c>
      <c r="Q7" s="3"/>
      <c r="R7" s="32" t="s">
        <v>173</v>
      </c>
      <c r="S7" s="17"/>
      <c r="T7" s="32" t="s">
        <v>185</v>
      </c>
      <c r="U7" s="3"/>
      <c r="V7" s="137" t="s">
        <v>185</v>
      </c>
      <c r="W7" s="1"/>
      <c r="X7" s="11" t="s">
        <v>189</v>
      </c>
      <c r="AA7" s="124" t="s">
        <v>310</v>
      </c>
    </row>
    <row r="8" spans="3:31" ht="12.75">
      <c r="C8" s="150" t="s">
        <v>271</v>
      </c>
      <c r="E8" s="2" t="s">
        <v>180</v>
      </c>
      <c r="F8" s="12"/>
      <c r="G8" s="2"/>
      <c r="H8" s="2"/>
      <c r="I8" s="3"/>
      <c r="J8" s="8" t="s">
        <v>176</v>
      </c>
      <c r="K8" s="3"/>
      <c r="L8" s="147" t="s">
        <v>179</v>
      </c>
      <c r="M8" s="147"/>
      <c r="N8" s="147"/>
      <c r="O8" s="3"/>
      <c r="P8" s="136" t="s">
        <v>183</v>
      </c>
      <c r="Q8" s="3"/>
      <c r="R8" s="210" t="s">
        <v>322</v>
      </c>
      <c r="S8" s="18"/>
      <c r="T8" s="32" t="s">
        <v>186</v>
      </c>
      <c r="U8" s="3"/>
      <c r="V8" s="138" t="s">
        <v>187</v>
      </c>
      <c r="W8" s="1"/>
      <c r="X8" s="11" t="s">
        <v>190</v>
      </c>
      <c r="AA8" s="124" t="s">
        <v>311</v>
      </c>
      <c r="AB8" s="124" t="s">
        <v>309</v>
      </c>
      <c r="AC8" s="124"/>
      <c r="AD8" s="124"/>
      <c r="AE8" s="124"/>
    </row>
    <row r="9" spans="5:24" ht="12.75" customHeight="1">
      <c r="E9" s="4" t="s">
        <v>0</v>
      </c>
      <c r="F9" s="13"/>
      <c r="G9" s="4"/>
      <c r="H9" s="4"/>
      <c r="I9" s="3"/>
      <c r="J9" s="9" t="s">
        <v>1</v>
      </c>
      <c r="K9" s="3"/>
      <c r="L9" s="148" t="s">
        <v>2</v>
      </c>
      <c r="M9" s="148"/>
      <c r="N9" s="148"/>
      <c r="O9" s="3"/>
      <c r="P9" s="134" t="s">
        <v>3</v>
      </c>
      <c r="Q9" s="3"/>
      <c r="R9" s="39" t="s">
        <v>4</v>
      </c>
      <c r="S9" s="17"/>
      <c r="T9" s="34" t="s">
        <v>5</v>
      </c>
      <c r="U9" s="3"/>
      <c r="V9" s="149" t="s">
        <v>10</v>
      </c>
      <c r="W9" s="1"/>
      <c r="X9" s="15">
        <v>-8</v>
      </c>
    </row>
    <row r="10" spans="5:24" ht="12.75" customHeight="1">
      <c r="E10" s="122"/>
      <c r="F10" s="145"/>
      <c r="G10" s="122"/>
      <c r="H10" s="122"/>
      <c r="I10" s="6"/>
      <c r="J10" s="37"/>
      <c r="K10" s="6"/>
      <c r="L10" s="38"/>
      <c r="M10" s="38"/>
      <c r="N10" s="38"/>
      <c r="O10" s="6"/>
      <c r="P10" s="45"/>
      <c r="Q10" s="6"/>
      <c r="R10" s="39"/>
      <c r="S10" s="17"/>
      <c r="T10" s="40"/>
      <c r="U10" s="6"/>
      <c r="V10" s="139"/>
      <c r="W10" s="7"/>
      <c r="X10" s="21"/>
    </row>
    <row r="11" spans="5:24" ht="12.75" customHeight="1">
      <c r="E11" s="30" t="s">
        <v>12</v>
      </c>
      <c r="F11" s="145"/>
      <c r="G11" s="122"/>
      <c r="H11" s="122"/>
      <c r="I11" s="6"/>
      <c r="J11" s="37"/>
      <c r="K11" s="6"/>
      <c r="L11" s="38"/>
      <c r="M11" s="38"/>
      <c r="N11" s="38"/>
      <c r="O11" s="6"/>
      <c r="P11" s="45"/>
      <c r="Q11" s="6"/>
      <c r="R11" s="39"/>
      <c r="S11" s="17"/>
      <c r="T11" s="40"/>
      <c r="U11" s="6"/>
      <c r="V11" s="139"/>
      <c r="W11" s="7"/>
      <c r="X11" s="21"/>
    </row>
    <row r="12" spans="5:24" ht="12.75" customHeight="1">
      <c r="E12" s="30"/>
      <c r="F12" s="145"/>
      <c r="G12" s="122"/>
      <c r="H12" s="122"/>
      <c r="I12" s="6"/>
      <c r="J12" s="37"/>
      <c r="K12" s="6"/>
      <c r="L12" s="38"/>
      <c r="M12" s="38"/>
      <c r="N12" s="38"/>
      <c r="O12" s="6"/>
      <c r="P12" s="38"/>
      <c r="Q12" s="6"/>
      <c r="R12" s="39"/>
      <c r="S12" s="17"/>
      <c r="T12" s="40"/>
      <c r="U12" s="6"/>
      <c r="V12" s="139"/>
      <c r="W12" s="7"/>
      <c r="X12" s="21"/>
    </row>
    <row r="13" spans="5:24" ht="12.75" customHeight="1">
      <c r="E13" s="27" t="s">
        <v>191</v>
      </c>
      <c r="F13" s="145"/>
      <c r="G13" s="122"/>
      <c r="H13" s="122"/>
      <c r="I13" s="6"/>
      <c r="J13" s="37"/>
      <c r="K13" s="6"/>
      <c r="L13" s="38"/>
      <c r="M13" s="38"/>
      <c r="N13" s="38"/>
      <c r="O13" s="6"/>
      <c r="P13" s="38"/>
      <c r="Q13" s="6"/>
      <c r="R13" s="39"/>
      <c r="S13" s="17"/>
      <c r="T13" s="40"/>
      <c r="U13" s="6"/>
      <c r="V13" s="139"/>
      <c r="W13" s="7"/>
      <c r="X13" s="21"/>
    </row>
    <row r="14" spans="5:24" ht="9.75" customHeight="1">
      <c r="E14" s="27"/>
      <c r="F14" s="145"/>
      <c r="G14" s="122"/>
      <c r="H14" s="122"/>
      <c r="I14" s="6"/>
      <c r="J14" s="37"/>
      <c r="K14" s="6"/>
      <c r="L14" s="38"/>
      <c r="M14" s="38"/>
      <c r="N14" s="38"/>
      <c r="O14" s="6"/>
      <c r="P14" s="38"/>
      <c r="Q14" s="6"/>
      <c r="R14" s="39"/>
      <c r="S14" s="17"/>
      <c r="T14" s="40"/>
      <c r="U14" s="6"/>
      <c r="V14" s="139"/>
      <c r="W14" s="7"/>
      <c r="X14" s="21"/>
    </row>
    <row r="15" spans="6:24" ht="12.75" customHeight="1">
      <c r="F15" s="63" t="s">
        <v>193</v>
      </c>
      <c r="G15" s="122"/>
      <c r="H15" s="122"/>
      <c r="I15" s="6"/>
      <c r="J15" s="213"/>
      <c r="K15" s="214"/>
      <c r="L15" s="17"/>
      <c r="M15" s="17"/>
      <c r="N15" s="17"/>
      <c r="O15" s="214"/>
      <c r="P15" s="17"/>
      <c r="Q15" s="6"/>
      <c r="R15" s="39"/>
      <c r="S15" s="17"/>
      <c r="T15" s="40"/>
      <c r="U15" s="6"/>
      <c r="V15" s="139"/>
      <c r="W15" s="7"/>
      <c r="X15" s="248"/>
    </row>
    <row r="16" spans="1:31" ht="12.75" customHeight="1">
      <c r="A16" s="25">
        <v>311</v>
      </c>
      <c r="C16" s="25">
        <v>1102</v>
      </c>
      <c r="E16" s="30"/>
      <c r="F16" s="65" t="s">
        <v>194</v>
      </c>
      <c r="G16" s="122"/>
      <c r="H16" s="62" t="s">
        <v>207</v>
      </c>
      <c r="I16" s="6"/>
      <c r="J16" s="215">
        <f>VLOOKUP($A16,Deprlot,2,FALSE)</f>
        <v>44561</v>
      </c>
      <c r="K16" s="214"/>
      <c r="L16" s="216">
        <f>VLOOKUP($A16,Deprlot,3,FALSE)</f>
        <v>80</v>
      </c>
      <c r="M16" s="18" t="s">
        <v>9</v>
      </c>
      <c r="N16" s="217" t="str">
        <f>TRIM(VLOOKUP($A16,Deprlot,4,FALSE))</f>
        <v>S0</v>
      </c>
      <c r="O16" s="214"/>
      <c r="P16" s="218">
        <f>VLOOKUP($A16,Deprlot,5,FALSE)</f>
        <v>-19</v>
      </c>
      <c r="Q16" s="6"/>
      <c r="R16" s="92">
        <f>VLOOKUP($A16,Deprlot,6,FALSE)</f>
        <v>9006038.08</v>
      </c>
      <c r="S16" s="245"/>
      <c r="T16" s="92">
        <f>VLOOKUP($A16,Deprlot,9,FALSE)</f>
        <v>547357</v>
      </c>
      <c r="U16" s="68"/>
      <c r="V16" s="71">
        <f>ROUND(T16/R16*100,2)</f>
        <v>6.08</v>
      </c>
      <c r="W16" s="70"/>
      <c r="X16" s="92">
        <f>VLOOKUP($A16,Deprlot,7,FALSE)</f>
        <v>8546939</v>
      </c>
      <c r="AA16" s="92">
        <f>ROUND(_xlfn.SUMIFS(Controls!$G:$G,Controls!$A:$A,$A16),2)</f>
        <v>9006038.08</v>
      </c>
      <c r="AB16" s="81">
        <f>R16-AA16</f>
        <v>0</v>
      </c>
      <c r="AC16" s="81"/>
      <c r="AD16" s="71">
        <f>VLOOKUP($A16,Deprlot,10,FALSE)</f>
        <v>6.08</v>
      </c>
      <c r="AE16" s="81">
        <f>AD16-V16</f>
        <v>0</v>
      </c>
    </row>
    <row r="17" spans="1:31" ht="12.75" customHeight="1">
      <c r="A17" s="25">
        <v>312</v>
      </c>
      <c r="C17" s="86" t="s">
        <v>62</v>
      </c>
      <c r="D17" s="86"/>
      <c r="E17" s="30"/>
      <c r="F17" s="65" t="s">
        <v>196</v>
      </c>
      <c r="G17" s="122"/>
      <c r="H17" s="62" t="s">
        <v>197</v>
      </c>
      <c r="I17" s="6"/>
      <c r="J17" s="215">
        <f>VLOOKUP($A17,Deprlot,2,FALSE)</f>
        <v>44561</v>
      </c>
      <c r="K17" s="214"/>
      <c r="L17" s="216">
        <f>VLOOKUP($A17,Deprlot,3,FALSE)</f>
        <v>75</v>
      </c>
      <c r="M17" s="18" t="s">
        <v>9</v>
      </c>
      <c r="N17" s="217" t="str">
        <f>TRIM(VLOOKUP($A17,Deprlot,4,FALSE))</f>
        <v>R2</v>
      </c>
      <c r="O17" s="214"/>
      <c r="P17" s="218">
        <f>VLOOKUP($A17,Deprlot,5,FALSE)</f>
        <v>-19</v>
      </c>
      <c r="Q17" s="6"/>
      <c r="R17" s="188">
        <f>VLOOKUP($A17,Deprlot,6,FALSE)</f>
        <v>26445979.81</v>
      </c>
      <c r="S17" s="245"/>
      <c r="T17" s="92">
        <f>VLOOKUP($A17,Deprlot,9,FALSE)</f>
        <v>1285317</v>
      </c>
      <c r="U17" s="68"/>
      <c r="V17" s="71">
        <f>ROUND(T17/R17*100,2)</f>
        <v>4.86</v>
      </c>
      <c r="W17" s="70"/>
      <c r="X17" s="92">
        <f>VLOOKUP($A17,Deprlot,7,FALSE)</f>
        <v>26377078</v>
      </c>
      <c r="AA17" s="92">
        <f>ROUND(_xlfn.SUMIFS(Controls!$G:$G,Controls!$A:$A,$A17),2)</f>
        <v>26445979.81</v>
      </c>
      <c r="AB17" s="81">
        <f>R17-AA17</f>
        <v>0</v>
      </c>
      <c r="AC17" s="81"/>
      <c r="AD17" s="71">
        <f>VLOOKUP($A17,Deprlot,10,FALSE)</f>
        <v>4.86</v>
      </c>
      <c r="AE17" s="81">
        <f>AD17-V17</f>
        <v>0</v>
      </c>
    </row>
    <row r="18" spans="1:31" ht="12.75" customHeight="1">
      <c r="A18" s="25">
        <v>314</v>
      </c>
      <c r="C18" s="25">
        <v>1107</v>
      </c>
      <c r="E18" s="30"/>
      <c r="F18" s="65" t="s">
        <v>198</v>
      </c>
      <c r="G18" s="122"/>
      <c r="H18" s="62" t="s">
        <v>199</v>
      </c>
      <c r="I18" s="6"/>
      <c r="J18" s="215"/>
      <c r="K18" s="214"/>
      <c r="L18" s="216"/>
      <c r="M18" s="18"/>
      <c r="N18" s="217"/>
      <c r="O18" s="214"/>
      <c r="P18" s="218"/>
      <c r="Q18" s="6"/>
      <c r="R18" s="92"/>
      <c r="S18" s="245"/>
      <c r="T18" s="92"/>
      <c r="U18" s="68"/>
      <c r="V18" s="71"/>
      <c r="W18" s="70"/>
      <c r="X18" s="92"/>
      <c r="AA18" s="92"/>
      <c r="AB18" s="81"/>
      <c r="AC18" s="81"/>
      <c r="AD18" s="71"/>
      <c r="AE18" s="81"/>
    </row>
    <row r="19" spans="1:31" ht="12.75" customHeight="1">
      <c r="A19" s="124" t="s">
        <v>386</v>
      </c>
      <c r="E19" s="30"/>
      <c r="F19" s="65"/>
      <c r="G19" s="122"/>
      <c r="H19" s="243" t="s">
        <v>382</v>
      </c>
      <c r="I19" s="6"/>
      <c r="J19" s="215">
        <f>VLOOKUP($A19,Deprlot,2,FALSE)</f>
        <v>43830</v>
      </c>
      <c r="K19" s="214"/>
      <c r="L19" s="216">
        <f>VLOOKUP($A19,Deprlot,3,FALSE)</f>
        <v>100</v>
      </c>
      <c r="M19" s="18" t="s">
        <v>9</v>
      </c>
      <c r="N19" s="217" t="str">
        <f>TRIM(VLOOKUP($A19,Deprlot,4,FALSE))</f>
        <v>S0</v>
      </c>
      <c r="O19" s="214"/>
      <c r="P19" s="218">
        <f>VLOOKUP($A19,Deprlot,5,FALSE)</f>
        <v>-19</v>
      </c>
      <c r="Q19" s="6"/>
      <c r="R19" s="92">
        <f>VLOOKUP($A19,Deprlot,6,FALSE)</f>
        <v>1954690.95</v>
      </c>
      <c r="S19" s="245"/>
      <c r="T19" s="92">
        <f>VLOOKUP($A19,Deprlot,9,FALSE)</f>
        <v>113005</v>
      </c>
      <c r="U19" s="68"/>
      <c r="V19" s="71">
        <f>ROUND(T19/R19*100,2)</f>
        <v>5.78</v>
      </c>
      <c r="W19" s="70"/>
      <c r="X19" s="92">
        <f>VLOOKUP($A19,Deprlot,7,FALSE)</f>
        <v>2100717</v>
      </c>
      <c r="AA19" s="92"/>
      <c r="AB19" s="81"/>
      <c r="AC19" s="81"/>
      <c r="AD19" s="71">
        <f>VLOOKUP($A19,Deprlot,10,FALSE)</f>
        <v>5.78</v>
      </c>
      <c r="AE19" s="81">
        <f>AD19-V19</f>
        <v>0</v>
      </c>
    </row>
    <row r="20" spans="1:31" ht="12.75" customHeight="1">
      <c r="A20" s="124" t="s">
        <v>387</v>
      </c>
      <c r="E20" s="30"/>
      <c r="F20" s="65"/>
      <c r="G20" s="122"/>
      <c r="H20" s="243" t="s">
        <v>383</v>
      </c>
      <c r="I20" s="6"/>
      <c r="J20" s="215">
        <f>VLOOKUP($A20,Deprlot,2,FALSE)</f>
        <v>44196</v>
      </c>
      <c r="K20" s="214"/>
      <c r="L20" s="216">
        <f>VLOOKUP($A20,Deprlot,3,FALSE)</f>
        <v>100</v>
      </c>
      <c r="M20" s="18" t="s">
        <v>9</v>
      </c>
      <c r="N20" s="217" t="str">
        <f>TRIM(VLOOKUP($A20,Deprlot,4,FALSE))</f>
        <v>S0</v>
      </c>
      <c r="O20" s="214"/>
      <c r="P20" s="218">
        <f>VLOOKUP($A20,Deprlot,5,FALSE)</f>
        <v>-19</v>
      </c>
      <c r="Q20" s="6"/>
      <c r="R20" s="92">
        <f>VLOOKUP($A20,Deprlot,6,FALSE)</f>
        <v>3909381.9</v>
      </c>
      <c r="S20" s="245"/>
      <c r="T20" s="92">
        <f>VLOOKUP($A20,Deprlot,9,FALSE)</f>
        <v>209582</v>
      </c>
      <c r="U20" s="68"/>
      <c r="V20" s="71">
        <f>ROUND(T20/R20*100,2)</f>
        <v>5.36</v>
      </c>
      <c r="W20" s="70"/>
      <c r="X20" s="92">
        <f>VLOOKUP($A20,Deprlot,7,FALSE)</f>
        <v>4026569</v>
      </c>
      <c r="AA20" s="92"/>
      <c r="AB20" s="81"/>
      <c r="AC20" s="81"/>
      <c r="AD20" s="71">
        <f>VLOOKUP($A20,Deprlot,10,FALSE)</f>
        <v>5.36</v>
      </c>
      <c r="AE20" s="81">
        <f>AD20-V20</f>
        <v>0</v>
      </c>
    </row>
    <row r="21" spans="1:31" ht="12.75" customHeight="1">
      <c r="A21" s="124" t="s">
        <v>388</v>
      </c>
      <c r="E21" s="30"/>
      <c r="F21" s="65"/>
      <c r="G21" s="122"/>
      <c r="H21" s="243" t="s">
        <v>384</v>
      </c>
      <c r="I21" s="6"/>
      <c r="J21" s="215">
        <f>VLOOKUP($A21,Deprlot,2,FALSE)</f>
        <v>44561</v>
      </c>
      <c r="K21" s="214"/>
      <c r="L21" s="216">
        <f>VLOOKUP($A21,Deprlot,3,FALSE)</f>
        <v>100</v>
      </c>
      <c r="M21" s="18" t="s">
        <v>9</v>
      </c>
      <c r="N21" s="217" t="str">
        <f>TRIM(VLOOKUP($A21,Deprlot,4,FALSE))</f>
        <v>S0</v>
      </c>
      <c r="O21" s="214"/>
      <c r="P21" s="218">
        <f>VLOOKUP($A21,Deprlot,5,FALSE)</f>
        <v>-19</v>
      </c>
      <c r="Q21" s="6"/>
      <c r="R21" s="92">
        <f>VLOOKUP($A21,Deprlot,6,FALSE)</f>
        <v>15637527.64</v>
      </c>
      <c r="S21" s="245"/>
      <c r="T21" s="92">
        <f>VLOOKUP($A21,Deprlot,9,FALSE)</f>
        <v>796856</v>
      </c>
      <c r="U21" s="68"/>
      <c r="V21" s="71">
        <f>ROUND(T21/R21*100,2)</f>
        <v>5.1</v>
      </c>
      <c r="W21" s="70"/>
      <c r="X21" s="92">
        <f>VLOOKUP($A21,Deprlot,7,FALSE)</f>
        <v>15442475</v>
      </c>
      <c r="AA21" s="92"/>
      <c r="AB21" s="81"/>
      <c r="AC21" s="81"/>
      <c r="AD21" s="71">
        <f>VLOOKUP($A21,Deprlot,10,FALSE)</f>
        <v>5.1</v>
      </c>
      <c r="AE21" s="81">
        <f>AD21-V21</f>
        <v>0</v>
      </c>
    </row>
    <row r="22" spans="1:31" ht="12.75" customHeight="1">
      <c r="A22" s="25">
        <v>314</v>
      </c>
      <c r="E22" s="30"/>
      <c r="F22" s="65"/>
      <c r="G22" s="122"/>
      <c r="H22" s="244" t="s">
        <v>385</v>
      </c>
      <c r="I22" s="6"/>
      <c r="J22" s="215"/>
      <c r="K22" s="214"/>
      <c r="L22" s="216"/>
      <c r="M22" s="18"/>
      <c r="N22" s="217"/>
      <c r="O22" s="214"/>
      <c r="P22" s="218"/>
      <c r="Q22" s="6"/>
      <c r="R22" s="198">
        <f>SUBTOTAL(9,R19:R21)</f>
        <v>21501600.490000002</v>
      </c>
      <c r="S22" s="245"/>
      <c r="T22" s="198">
        <f>SUBTOTAL(9,T19:T21)</f>
        <v>1119443</v>
      </c>
      <c r="U22" s="68"/>
      <c r="V22" s="167">
        <f>ROUND(T22/R22*100,2)</f>
        <v>5.21</v>
      </c>
      <c r="W22" s="70"/>
      <c r="X22" s="198">
        <f>SUBTOTAL(9,X19:X21)</f>
        <v>21569761</v>
      </c>
      <c r="AA22" s="92">
        <f>ROUND(_xlfn.SUMIFS(Controls!$G:$G,Controls!$A:$A,$A22),2)</f>
        <v>21501600.47</v>
      </c>
      <c r="AB22" s="81">
        <f>R22-AA22</f>
        <v>0.020000003278255463</v>
      </c>
      <c r="AC22" s="81"/>
      <c r="AD22" s="71"/>
      <c r="AE22" s="81"/>
    </row>
    <row r="23" spans="5:31" ht="8.25" customHeight="1">
      <c r="E23" s="30"/>
      <c r="F23" s="65"/>
      <c r="G23" s="122"/>
      <c r="H23" s="62"/>
      <c r="I23" s="6"/>
      <c r="J23" s="215"/>
      <c r="K23" s="214"/>
      <c r="L23" s="216"/>
      <c r="M23" s="18"/>
      <c r="N23" s="217"/>
      <c r="O23" s="214"/>
      <c r="P23" s="218"/>
      <c r="Q23" s="6"/>
      <c r="R23" s="92"/>
      <c r="S23" s="245"/>
      <c r="T23" s="92"/>
      <c r="U23" s="68"/>
      <c r="V23" s="71"/>
      <c r="W23" s="70"/>
      <c r="X23" s="92"/>
      <c r="AA23" s="92"/>
      <c r="AB23" s="81"/>
      <c r="AC23" s="81"/>
      <c r="AD23" s="71"/>
      <c r="AE23" s="81"/>
    </row>
    <row r="24" spans="1:31" ht="12.75" customHeight="1">
      <c r="A24" s="25">
        <v>315</v>
      </c>
      <c r="C24" s="25">
        <v>1113</v>
      </c>
      <c r="E24" s="30"/>
      <c r="F24" s="65" t="s">
        <v>200</v>
      </c>
      <c r="G24" s="122"/>
      <c r="H24" s="62" t="s">
        <v>201</v>
      </c>
      <c r="I24" s="6"/>
      <c r="J24" s="215">
        <f>VLOOKUP($A24,Deprlot,2,FALSE)</f>
        <v>44561</v>
      </c>
      <c r="K24" s="214"/>
      <c r="L24" s="216">
        <f>VLOOKUP($A24,Deprlot,3,FALSE)</f>
        <v>80</v>
      </c>
      <c r="M24" s="18" t="s">
        <v>9</v>
      </c>
      <c r="N24" s="217" t="str">
        <f>TRIM(VLOOKUP($A24,Deprlot,4,FALSE))</f>
        <v>R2</v>
      </c>
      <c r="O24" s="214"/>
      <c r="P24" s="218">
        <f>VLOOKUP($A24,Deprlot,5,FALSE)</f>
        <v>-19</v>
      </c>
      <c r="Q24" s="6"/>
      <c r="R24" s="92">
        <f>VLOOKUP($A24,Deprlot,6,FALSE)</f>
        <v>2283113.25</v>
      </c>
      <c r="S24" s="245"/>
      <c r="T24" s="92">
        <f>VLOOKUP($A24,Deprlot,9,FALSE)</f>
        <v>68942</v>
      </c>
      <c r="U24" s="68"/>
      <c r="V24" s="71">
        <f>ROUND(T24/R24*100,2)</f>
        <v>3.02</v>
      </c>
      <c r="W24" s="70"/>
      <c r="X24" s="92">
        <f>VLOOKUP($A24,Deprlot,7,FALSE)</f>
        <v>2444835</v>
      </c>
      <c r="AA24" s="92">
        <f>ROUND(_xlfn.SUMIFS(Controls!$G:$G,Controls!$A:$A,$A24),2)</f>
        <v>2283113.25</v>
      </c>
      <c r="AB24" s="81">
        <f>R24-AA24</f>
        <v>0</v>
      </c>
      <c r="AC24" s="81"/>
      <c r="AD24" s="71">
        <f>VLOOKUP($A24,Deprlot,10,FALSE)</f>
        <v>3.02</v>
      </c>
      <c r="AE24" s="81">
        <f>AD24-V24</f>
        <v>0</v>
      </c>
    </row>
    <row r="25" spans="1:31" ht="12.75" customHeight="1">
      <c r="A25" s="25">
        <v>316</v>
      </c>
      <c r="C25" s="87" t="s">
        <v>63</v>
      </c>
      <c r="D25" s="87"/>
      <c r="E25" s="30"/>
      <c r="F25" s="65" t="s">
        <v>202</v>
      </c>
      <c r="G25" s="122"/>
      <c r="H25" s="62" t="s">
        <v>203</v>
      </c>
      <c r="I25" s="6"/>
      <c r="J25" s="215">
        <f>VLOOKUP($A25,Deprlot,2,FALSE)</f>
        <v>44561</v>
      </c>
      <c r="K25" s="214"/>
      <c r="L25" s="216">
        <f>VLOOKUP($A25,Deprlot,3,FALSE)</f>
        <v>70</v>
      </c>
      <c r="M25" s="18" t="s">
        <v>9</v>
      </c>
      <c r="N25" s="217" t="str">
        <f>TRIM(VLOOKUP($A25,Deprlot,4,FALSE))</f>
        <v>L0</v>
      </c>
      <c r="O25" s="214"/>
      <c r="P25" s="218">
        <f>VLOOKUP($A25,Deprlot,5,FALSE)</f>
        <v>-19</v>
      </c>
      <c r="Q25" s="6"/>
      <c r="R25" s="179">
        <f>VLOOKUP($A25,Deprlot,6,FALSE)</f>
        <v>1512886.51</v>
      </c>
      <c r="S25" s="245"/>
      <c r="T25" s="179">
        <f>VLOOKUP($A25,Deprlot,9,FALSE)</f>
        <v>68526</v>
      </c>
      <c r="U25" s="68"/>
      <c r="V25" s="71">
        <f>ROUND(T25/R25*100,2)</f>
        <v>4.53</v>
      </c>
      <c r="W25" s="70"/>
      <c r="X25" s="179">
        <f>VLOOKUP($A25,Deprlot,7,FALSE)</f>
        <v>1531750</v>
      </c>
      <c r="AA25" s="92">
        <f>ROUND(_xlfn.SUMIFS(Controls!$G:$G,Controls!$A:$A,$A25),2)</f>
        <v>1512886.51</v>
      </c>
      <c r="AB25" s="81">
        <f>R25-AA25</f>
        <v>0</v>
      </c>
      <c r="AC25" s="81"/>
      <c r="AD25" s="71">
        <f>VLOOKUP($A25,Deprlot,10,FALSE)</f>
        <v>4.53</v>
      </c>
      <c r="AE25" s="81">
        <f>AD25-V25</f>
        <v>0</v>
      </c>
    </row>
    <row r="26" spans="5:27" ht="12.75" customHeight="1">
      <c r="E26" s="30"/>
      <c r="F26" s="145"/>
      <c r="G26" s="122"/>
      <c r="H26" s="122"/>
      <c r="I26" s="6"/>
      <c r="J26" s="213"/>
      <c r="K26" s="214"/>
      <c r="L26" s="17"/>
      <c r="M26" s="17"/>
      <c r="N26" s="17"/>
      <c r="O26" s="214"/>
      <c r="P26" s="17"/>
      <c r="Q26" s="6"/>
      <c r="R26" s="169"/>
      <c r="S26" s="245"/>
      <c r="T26" s="246"/>
      <c r="U26" s="68"/>
      <c r="V26" s="69"/>
      <c r="W26" s="70"/>
      <c r="X26" s="169"/>
      <c r="AA26" s="92"/>
    </row>
    <row r="27" spans="5:27" ht="12.75" customHeight="1">
      <c r="E27" s="27" t="s">
        <v>204</v>
      </c>
      <c r="F27" s="145"/>
      <c r="G27" s="122"/>
      <c r="H27" s="122"/>
      <c r="I27" s="6"/>
      <c r="J27" s="213"/>
      <c r="K27" s="214"/>
      <c r="L27" s="17"/>
      <c r="M27" s="17"/>
      <c r="N27" s="17"/>
      <c r="O27" s="214"/>
      <c r="P27" s="17"/>
      <c r="Q27" s="6"/>
      <c r="R27" s="169">
        <f>SUBTOTAL(9,R16:R25)</f>
        <v>60749618.14</v>
      </c>
      <c r="S27" s="245"/>
      <c r="T27" s="169">
        <f>SUBTOTAL(9,T16:T25)</f>
        <v>3089585</v>
      </c>
      <c r="U27" s="68"/>
      <c r="V27" s="69">
        <f>ROUND(T27/R27*100,2)</f>
        <v>5.09</v>
      </c>
      <c r="W27" s="70"/>
      <c r="X27" s="169">
        <f>SUBTOTAL(9,X16:X25)</f>
        <v>60470363</v>
      </c>
      <c r="AA27" s="92"/>
    </row>
    <row r="28" spans="5:27" ht="12.75" customHeight="1">
      <c r="E28" s="30"/>
      <c r="F28" s="145"/>
      <c r="G28" s="122"/>
      <c r="H28" s="122"/>
      <c r="I28" s="6"/>
      <c r="J28" s="213"/>
      <c r="K28" s="214"/>
      <c r="L28" s="17"/>
      <c r="M28" s="17"/>
      <c r="N28" s="17"/>
      <c r="O28" s="214"/>
      <c r="P28" s="17"/>
      <c r="Q28" s="6"/>
      <c r="R28" s="169"/>
      <c r="S28" s="245"/>
      <c r="T28" s="246"/>
      <c r="U28" s="68"/>
      <c r="V28" s="69"/>
      <c r="W28" s="70"/>
      <c r="X28" s="169"/>
      <c r="AA28" s="92"/>
    </row>
    <row r="29" spans="5:27" s="31" customFormat="1" ht="12.75" customHeight="1">
      <c r="E29" s="55" t="s">
        <v>205</v>
      </c>
      <c r="F29" s="53"/>
      <c r="G29" s="53"/>
      <c r="J29" s="89"/>
      <c r="K29" s="89"/>
      <c r="L29" s="89"/>
      <c r="M29" s="89"/>
      <c r="N29" s="89"/>
      <c r="O29" s="89"/>
      <c r="P29" s="219"/>
      <c r="R29" s="189"/>
      <c r="S29" s="189"/>
      <c r="T29" s="189"/>
      <c r="U29" s="52"/>
      <c r="V29" s="57"/>
      <c r="W29" s="52"/>
      <c r="X29" s="189"/>
      <c r="AA29" s="92"/>
    </row>
    <row r="30" spans="5:27" s="31" customFormat="1" ht="12.75" customHeight="1">
      <c r="E30" s="55"/>
      <c r="F30" s="53"/>
      <c r="G30" s="53"/>
      <c r="J30" s="89"/>
      <c r="K30" s="89"/>
      <c r="L30" s="89"/>
      <c r="M30" s="89"/>
      <c r="N30" s="89"/>
      <c r="O30" s="89"/>
      <c r="P30" s="219"/>
      <c r="R30" s="189"/>
      <c r="S30" s="189"/>
      <c r="T30" s="189"/>
      <c r="U30" s="52"/>
      <c r="V30" s="57"/>
      <c r="W30" s="52"/>
      <c r="X30" s="189"/>
      <c r="AA30" s="92"/>
    </row>
    <row r="31" spans="5:27" s="31" customFormat="1" ht="12.75" customHeight="1">
      <c r="E31" s="55"/>
      <c r="F31" s="64" t="s">
        <v>206</v>
      </c>
      <c r="G31" s="53"/>
      <c r="J31" s="89"/>
      <c r="K31" s="89"/>
      <c r="L31" s="89"/>
      <c r="M31" s="89"/>
      <c r="N31" s="89"/>
      <c r="O31" s="89"/>
      <c r="P31" s="219"/>
      <c r="R31" s="189"/>
      <c r="S31" s="189"/>
      <c r="T31" s="189"/>
      <c r="U31" s="52"/>
      <c r="V31" s="57"/>
      <c r="W31" s="52"/>
      <c r="X31" s="189"/>
      <c r="AA31" s="92"/>
    </row>
    <row r="32" spans="1:31" s="31" customFormat="1" ht="12.75" customHeight="1">
      <c r="A32" s="25">
        <v>341</v>
      </c>
      <c r="B32" s="25"/>
      <c r="C32" s="31">
        <v>1202</v>
      </c>
      <c r="E32" s="55"/>
      <c r="F32" s="53" t="s">
        <v>13</v>
      </c>
      <c r="G32" s="53"/>
      <c r="H32" s="51" t="s">
        <v>207</v>
      </c>
      <c r="J32" s="215">
        <f>VLOOKUP($A32,Deprlot,2,FALSE)</f>
        <v>48029</v>
      </c>
      <c r="K32" s="214"/>
      <c r="L32" s="216">
        <f>VLOOKUP($A32,Deprlot,3,FALSE)</f>
        <v>70</v>
      </c>
      <c r="M32" s="18" t="s">
        <v>9</v>
      </c>
      <c r="N32" s="217" t="str">
        <f>TRIM(VLOOKUP($A32,Deprlot,4,FALSE))</f>
        <v>S0</v>
      </c>
      <c r="O32" s="214"/>
      <c r="P32" s="218">
        <f>VLOOKUP($A32,Deprlot,5,FALSE)</f>
        <v>-3</v>
      </c>
      <c r="Q32" s="6"/>
      <c r="R32" s="92">
        <f>VLOOKUP($A32,Deprlot,6,FALSE)</f>
        <v>481305.81</v>
      </c>
      <c r="S32" s="245"/>
      <c r="T32" s="92">
        <f>VLOOKUP($A32,Deprlot,9,FALSE)</f>
        <v>14050</v>
      </c>
      <c r="U32" s="68"/>
      <c r="V32" s="71">
        <f>ROUND(T32/R32*100,2)</f>
        <v>2.92</v>
      </c>
      <c r="W32" s="70"/>
      <c r="X32" s="92">
        <f>VLOOKUP($A32,Deprlot,7,FALSE)</f>
        <v>316843</v>
      </c>
      <c r="AA32" s="92">
        <f>ROUND(_xlfn.SUMIFS(Controls!$G:$G,Controls!$A:$A,$A32),2)</f>
        <v>481305.81</v>
      </c>
      <c r="AB32" s="81">
        <f>R32-AA32</f>
        <v>0</v>
      </c>
      <c r="AD32" s="71">
        <f>VLOOKUP($A32,Deprlot,10,FALSE)</f>
        <v>2.92</v>
      </c>
      <c r="AE32" s="81">
        <f>AD32-V32</f>
        <v>0</v>
      </c>
    </row>
    <row r="33" spans="1:31" s="31" customFormat="1" ht="12.75" customHeight="1">
      <c r="A33" s="95" t="s">
        <v>90</v>
      </c>
      <c r="B33" s="25"/>
      <c r="C33" s="31">
        <v>1209</v>
      </c>
      <c r="E33" s="55"/>
      <c r="F33" s="53" t="s">
        <v>14</v>
      </c>
      <c r="G33" s="53"/>
      <c r="H33" s="51" t="s">
        <v>208</v>
      </c>
      <c r="J33" s="215">
        <f>VLOOKUP($A33,Deprlot,2,FALSE)</f>
        <v>48029</v>
      </c>
      <c r="K33" s="214"/>
      <c r="L33" s="216">
        <f>VLOOKUP($A33,Deprlot,3,FALSE)</f>
        <v>65</v>
      </c>
      <c r="M33" s="18" t="s">
        <v>9</v>
      </c>
      <c r="N33" s="217" t="str">
        <f>TRIM(VLOOKUP($A33,Deprlot,4,FALSE))</f>
        <v>S0.5</v>
      </c>
      <c r="O33" s="214"/>
      <c r="P33" s="218">
        <f>VLOOKUP($A33,Deprlot,5,FALSE)</f>
        <v>-3</v>
      </c>
      <c r="Q33" s="6"/>
      <c r="R33" s="92">
        <f>VLOOKUP($A33,Deprlot,6,FALSE)</f>
        <v>12865544.8</v>
      </c>
      <c r="S33" s="245"/>
      <c r="T33" s="92">
        <f>VLOOKUP($A33,Deprlot,9,FALSE)</f>
        <v>535707</v>
      </c>
      <c r="U33" s="68"/>
      <c r="V33" s="71">
        <f>ROUND(T33/R33*100,2)</f>
        <v>4.16</v>
      </c>
      <c r="W33" s="70"/>
      <c r="X33" s="92">
        <f>VLOOKUP($A33,Deprlot,7,FALSE)</f>
        <v>6266803</v>
      </c>
      <c r="AA33" s="92">
        <f>ROUND(_xlfn.SUMIFS(Controls!$G:$G,Controls!$A:$A,$A33),2)</f>
        <v>12865544.8</v>
      </c>
      <c r="AB33" s="81">
        <f>R33-AA33</f>
        <v>0</v>
      </c>
      <c r="AD33" s="71">
        <f>VLOOKUP($A33,Deprlot,10,FALSE)</f>
        <v>4.16</v>
      </c>
      <c r="AE33" s="81">
        <f>AD33-V33</f>
        <v>0</v>
      </c>
    </row>
    <row r="34" spans="1:31" s="31" customFormat="1" ht="12.75" customHeight="1">
      <c r="A34" s="25">
        <v>346</v>
      </c>
      <c r="B34" s="25"/>
      <c r="C34" s="31">
        <v>1215</v>
      </c>
      <c r="E34" s="55"/>
      <c r="F34" s="53" t="s">
        <v>15</v>
      </c>
      <c r="G34" s="53"/>
      <c r="H34" s="62" t="s">
        <v>203</v>
      </c>
      <c r="J34" s="215">
        <f>VLOOKUP($A34,Deprlot,2,FALSE)</f>
        <v>48029</v>
      </c>
      <c r="K34" s="214"/>
      <c r="L34" s="216">
        <f>VLOOKUP($A34,Deprlot,3,FALSE)</f>
        <v>30</v>
      </c>
      <c r="M34" s="18" t="s">
        <v>9</v>
      </c>
      <c r="N34" s="217" t="str">
        <f>TRIM(VLOOKUP($A34,Deprlot,4,FALSE))</f>
        <v>L3</v>
      </c>
      <c r="O34" s="214"/>
      <c r="P34" s="218">
        <f>VLOOKUP($A34,Deprlot,5,FALSE)</f>
        <v>-3</v>
      </c>
      <c r="Q34" s="6"/>
      <c r="R34" s="179">
        <f>VLOOKUP($A34,Deprlot,6,FALSE)</f>
        <v>320115.73</v>
      </c>
      <c r="S34" s="245"/>
      <c r="T34" s="179">
        <f>VLOOKUP($A34,Deprlot,9,FALSE)</f>
        <v>13054</v>
      </c>
      <c r="U34" s="68"/>
      <c r="V34" s="71">
        <f>ROUND(T34/R34*100,2)</f>
        <v>4.08</v>
      </c>
      <c r="W34" s="70"/>
      <c r="X34" s="179">
        <f>VLOOKUP($A34,Deprlot,7,FALSE)</f>
        <v>187125</v>
      </c>
      <c r="AA34" s="92">
        <f>ROUND(_xlfn.SUMIFS(Controls!$G:$G,Controls!$A:$A,$A34),2)</f>
        <v>320115.73</v>
      </c>
      <c r="AB34" s="81">
        <f>R34-AA34</f>
        <v>0</v>
      </c>
      <c r="AD34" s="71">
        <f>VLOOKUP($A34,Deprlot,10,FALSE)</f>
        <v>4.08</v>
      </c>
      <c r="AE34" s="81">
        <f>AD34-V34</f>
        <v>0</v>
      </c>
    </row>
    <row r="35" spans="1:27" s="31" customFormat="1" ht="12.75" customHeight="1">
      <c r="A35" s="25"/>
      <c r="B35" s="25"/>
      <c r="E35" s="55"/>
      <c r="F35" s="165" t="s">
        <v>209</v>
      </c>
      <c r="G35" s="193"/>
      <c r="H35" s="62"/>
      <c r="I35" s="131"/>
      <c r="J35" s="222"/>
      <c r="K35" s="223"/>
      <c r="L35" s="216"/>
      <c r="M35" s="224"/>
      <c r="N35" s="217"/>
      <c r="O35" s="223"/>
      <c r="P35" s="218"/>
      <c r="Q35" s="209"/>
      <c r="R35" s="166">
        <f>SUBTOTAL(9,R32:R34)</f>
        <v>13666966.340000002</v>
      </c>
      <c r="S35" s="247"/>
      <c r="T35" s="166">
        <f>SUBTOTAL(9,T32:T34)</f>
        <v>562811</v>
      </c>
      <c r="U35" s="199"/>
      <c r="V35" s="167">
        <f>ROUND(T35/R35*100,2)</f>
        <v>4.12</v>
      </c>
      <c r="W35" s="168"/>
      <c r="X35" s="166">
        <f>SUBTOTAL(9,X32:X34)</f>
        <v>6770771</v>
      </c>
      <c r="AA35" s="92"/>
    </row>
    <row r="36" spans="1:27" s="31" customFormat="1" ht="12.75" customHeight="1">
      <c r="A36" s="25"/>
      <c r="B36" s="25"/>
      <c r="E36" s="55"/>
      <c r="F36" s="53" t="s">
        <v>192</v>
      </c>
      <c r="G36" s="53"/>
      <c r="H36" s="62"/>
      <c r="J36" s="222"/>
      <c r="K36" s="214"/>
      <c r="L36" s="225"/>
      <c r="M36" s="18"/>
      <c r="N36" s="225"/>
      <c r="O36" s="214"/>
      <c r="P36" s="218"/>
      <c r="Q36" s="6"/>
      <c r="R36" s="92"/>
      <c r="S36" s="245"/>
      <c r="T36" s="92"/>
      <c r="U36" s="68"/>
      <c r="V36" s="71"/>
      <c r="W36" s="70"/>
      <c r="X36" s="92"/>
      <c r="AA36" s="92"/>
    </row>
    <row r="37" spans="1:27" s="31" customFormat="1" ht="12.75" customHeight="1">
      <c r="A37" s="25"/>
      <c r="B37" s="25"/>
      <c r="E37" s="55"/>
      <c r="F37" s="64" t="s">
        <v>210</v>
      </c>
      <c r="G37" s="53"/>
      <c r="H37" s="62"/>
      <c r="J37" s="222"/>
      <c r="K37" s="214"/>
      <c r="L37" s="225"/>
      <c r="M37" s="18"/>
      <c r="N37" s="225"/>
      <c r="O37" s="214"/>
      <c r="P37" s="218"/>
      <c r="Q37" s="6"/>
      <c r="R37" s="92"/>
      <c r="S37" s="245"/>
      <c r="T37" s="92"/>
      <c r="U37" s="68"/>
      <c r="V37" s="71"/>
      <c r="W37" s="70"/>
      <c r="X37" s="92"/>
      <c r="AA37" s="92"/>
    </row>
    <row r="38" spans="1:31" s="31" customFormat="1" ht="12.75" customHeight="1">
      <c r="A38" s="95" t="s">
        <v>91</v>
      </c>
      <c r="B38" s="25"/>
      <c r="C38" s="91" t="s">
        <v>67</v>
      </c>
      <c r="E38" s="55"/>
      <c r="F38" s="53" t="s">
        <v>14</v>
      </c>
      <c r="G38" s="53"/>
      <c r="H38" s="51" t="s">
        <v>208</v>
      </c>
      <c r="J38" s="215">
        <f>VLOOKUP($A38,Deprlot,2,FALSE)</f>
        <v>57161</v>
      </c>
      <c r="K38" s="214"/>
      <c r="L38" s="216">
        <f>VLOOKUP($A38,Deprlot,3,FALSE)</f>
        <v>65</v>
      </c>
      <c r="M38" s="18" t="s">
        <v>9</v>
      </c>
      <c r="N38" s="217" t="str">
        <f>TRIM(VLOOKUP($A38,Deprlot,4,FALSE))</f>
        <v>S0.5</v>
      </c>
      <c r="O38" s="214"/>
      <c r="P38" s="218">
        <f>VLOOKUP($A38,Deprlot,5,FALSE)</f>
        <v>-3</v>
      </c>
      <c r="Q38" s="6"/>
      <c r="R38" s="179">
        <f>VLOOKUP($A38,Deprlot,6,FALSE)</f>
        <v>35297120.5</v>
      </c>
      <c r="S38" s="245"/>
      <c r="T38" s="179">
        <f>VLOOKUP($A38,Deprlot,9,FALSE)</f>
        <v>824633</v>
      </c>
      <c r="U38" s="68"/>
      <c r="V38" s="71">
        <f>ROUND(T38/R38*100,2)</f>
        <v>2.34</v>
      </c>
      <c r="W38" s="70"/>
      <c r="X38" s="179">
        <f>VLOOKUP($A38,Deprlot,7,FALSE)</f>
        <v>8505193</v>
      </c>
      <c r="AA38" s="92">
        <f>ROUND(_xlfn.SUMIFS(Controls!$G:$G,Controls!$A:$A,$A38),2)</f>
        <v>35297120.5</v>
      </c>
      <c r="AB38" s="81">
        <f>R38-AA38</f>
        <v>0</v>
      </c>
      <c r="AD38" s="71">
        <f>VLOOKUP($A38,Deprlot,10,FALSE)</f>
        <v>2.34</v>
      </c>
      <c r="AE38" s="81">
        <f>AD38-V38</f>
        <v>0</v>
      </c>
    </row>
    <row r="39" spans="1:27" s="31" customFormat="1" ht="12.75" customHeight="1">
      <c r="A39" s="25"/>
      <c r="B39" s="25"/>
      <c r="E39" s="55"/>
      <c r="F39" s="53"/>
      <c r="G39" s="53"/>
      <c r="H39" s="51"/>
      <c r="J39" s="226"/>
      <c r="K39" s="89"/>
      <c r="L39" s="89"/>
      <c r="M39" s="89"/>
      <c r="N39" s="89"/>
      <c r="O39" s="89"/>
      <c r="P39" s="219"/>
      <c r="R39" s="189"/>
      <c r="S39" s="189"/>
      <c r="T39" s="189"/>
      <c r="U39" s="52"/>
      <c r="V39" s="57"/>
      <c r="W39" s="52"/>
      <c r="X39" s="189"/>
      <c r="AA39" s="92"/>
    </row>
    <row r="40" spans="5:27" s="55" customFormat="1" ht="12.75" customHeight="1">
      <c r="E40" s="55" t="s">
        <v>211</v>
      </c>
      <c r="F40" s="54"/>
      <c r="G40" s="54"/>
      <c r="J40" s="227"/>
      <c r="K40" s="228"/>
      <c r="L40" s="228"/>
      <c r="M40" s="228"/>
      <c r="N40" s="228"/>
      <c r="O40" s="228"/>
      <c r="P40" s="229"/>
      <c r="R40" s="93">
        <f>SUBTOTAL(9,R32:R38)</f>
        <v>48964086.84</v>
      </c>
      <c r="S40" s="93"/>
      <c r="T40" s="93">
        <f>SUBTOTAL(9,T32:T38)</f>
        <v>1387444</v>
      </c>
      <c r="U40" s="56"/>
      <c r="V40" s="69">
        <f>ROUND(T40/R40*100,2)</f>
        <v>2.83</v>
      </c>
      <c r="W40" s="56"/>
      <c r="X40" s="93">
        <f>SUBTOTAL(9,X32:X38)</f>
        <v>15275964</v>
      </c>
      <c r="AA40" s="92"/>
    </row>
    <row r="41" spans="5:27" s="31" customFormat="1" ht="12.75" customHeight="1">
      <c r="E41" s="55"/>
      <c r="F41" s="53"/>
      <c r="G41" s="53"/>
      <c r="J41" s="226"/>
      <c r="K41" s="89"/>
      <c r="L41" s="89"/>
      <c r="M41" s="89"/>
      <c r="N41" s="89"/>
      <c r="O41" s="89"/>
      <c r="P41" s="219"/>
      <c r="R41" s="189"/>
      <c r="S41" s="189"/>
      <c r="T41" s="189"/>
      <c r="U41" s="52"/>
      <c r="V41" s="57"/>
      <c r="W41" s="52"/>
      <c r="X41" s="189"/>
      <c r="AA41" s="92"/>
    </row>
    <row r="42" spans="5:27" s="31" customFormat="1" ht="12.75" customHeight="1">
      <c r="E42" s="55" t="s">
        <v>212</v>
      </c>
      <c r="F42" s="53"/>
      <c r="G42" s="53"/>
      <c r="J42" s="226"/>
      <c r="K42" s="89"/>
      <c r="L42" s="89"/>
      <c r="M42" s="89"/>
      <c r="N42" s="89"/>
      <c r="O42" s="89"/>
      <c r="P42" s="219"/>
      <c r="R42" s="189"/>
      <c r="S42" s="189"/>
      <c r="T42" s="189"/>
      <c r="U42" s="52"/>
      <c r="V42" s="57"/>
      <c r="W42" s="52"/>
      <c r="X42" s="189"/>
      <c r="AA42" s="92"/>
    </row>
    <row r="43" spans="1:31" s="31" customFormat="1" ht="12.75" customHeight="1">
      <c r="A43" s="25">
        <v>350.2</v>
      </c>
      <c r="C43" s="163" t="s">
        <v>302</v>
      </c>
      <c r="E43" s="55"/>
      <c r="F43" s="53" t="s">
        <v>213</v>
      </c>
      <c r="G43" s="53"/>
      <c r="H43" s="51" t="s">
        <v>214</v>
      </c>
      <c r="J43" s="226"/>
      <c r="K43" s="89"/>
      <c r="L43" s="216">
        <f aca="true" t="shared" si="0" ref="L43:L48">VLOOKUP($A43,Deprlot,3,FALSE)</f>
        <v>70</v>
      </c>
      <c r="M43" s="18" t="s">
        <v>9</v>
      </c>
      <c r="N43" s="217" t="str">
        <f aca="true" t="shared" si="1" ref="N43:N48">TRIM(VLOOKUP($A43,Deprlot,4,FALSE))</f>
        <v>R5</v>
      </c>
      <c r="O43" s="214"/>
      <c r="P43" s="218">
        <f aca="true" t="shared" si="2" ref="P43:P48">VLOOKUP($A43,Deprlot,5,FALSE)</f>
        <v>0</v>
      </c>
      <c r="Q43" s="6"/>
      <c r="R43" s="92">
        <f aca="true" t="shared" si="3" ref="R43:R48">VLOOKUP($A43,Deprlot,6,FALSE)</f>
        <v>4462984.86</v>
      </c>
      <c r="S43" s="245"/>
      <c r="T43" s="92">
        <f aca="true" t="shared" si="4" ref="T43:T48">VLOOKUP($A43,Deprlot,9,FALSE)</f>
        <v>63821</v>
      </c>
      <c r="U43" s="68"/>
      <c r="V43" s="71">
        <f aca="true" t="shared" si="5" ref="V43:V48">ROUND(T43/R43*100,2)</f>
        <v>1.43</v>
      </c>
      <c r="W43" s="70"/>
      <c r="X43" s="92">
        <f aca="true" t="shared" si="6" ref="X43:X48">VLOOKUP($A43,Deprlot,7,FALSE)</f>
        <v>1066585</v>
      </c>
      <c r="AA43" s="92">
        <f>ROUND(_xlfn.SUMIFS(Controls!$G:$G,Controls!$A:$A,$A43),2)</f>
        <v>4462984.86</v>
      </c>
      <c r="AB43" s="81">
        <f aca="true" t="shared" si="7" ref="AB43:AB48">R43-AA43</f>
        <v>0</v>
      </c>
      <c r="AD43" s="71">
        <f aca="true" t="shared" si="8" ref="AD43:AD48">VLOOKUP($A43,Deprlot,10,FALSE)</f>
        <v>1.43</v>
      </c>
      <c r="AE43" s="81">
        <f aca="true" t="shared" si="9" ref="AE43:AE48">AD43-V43</f>
        <v>0</v>
      </c>
    </row>
    <row r="44" spans="1:31" s="31" customFormat="1" ht="12.75" customHeight="1">
      <c r="A44" s="25">
        <v>353</v>
      </c>
      <c r="B44" s="25"/>
      <c r="C44" s="31">
        <v>1841</v>
      </c>
      <c r="E44" s="55"/>
      <c r="F44" s="53" t="s">
        <v>215</v>
      </c>
      <c r="G44" s="53"/>
      <c r="H44" s="51" t="s">
        <v>216</v>
      </c>
      <c r="J44" s="226" t="s">
        <v>8</v>
      </c>
      <c r="K44" s="89"/>
      <c r="L44" s="216">
        <f t="shared" si="0"/>
        <v>57</v>
      </c>
      <c r="M44" s="18" t="s">
        <v>9</v>
      </c>
      <c r="N44" s="217" t="str">
        <f t="shared" si="1"/>
        <v>R3</v>
      </c>
      <c r="O44" s="214"/>
      <c r="P44" s="218">
        <f t="shared" si="2"/>
        <v>-5</v>
      </c>
      <c r="Q44" s="6"/>
      <c r="R44" s="92">
        <f t="shared" si="3"/>
        <v>50295932.85</v>
      </c>
      <c r="S44" s="245"/>
      <c r="T44" s="92">
        <f t="shared" si="4"/>
        <v>924188</v>
      </c>
      <c r="U44" s="68"/>
      <c r="V44" s="71">
        <f t="shared" si="5"/>
        <v>1.84</v>
      </c>
      <c r="W44" s="70"/>
      <c r="X44" s="92">
        <f t="shared" si="6"/>
        <v>13293620</v>
      </c>
      <c r="AA44" s="92">
        <f>ROUND(_xlfn.SUMIFS(Controls!$G:$G,Controls!$A:$A,$A44),2)</f>
        <v>50295932.85</v>
      </c>
      <c r="AB44" s="81">
        <f t="shared" si="7"/>
        <v>0</v>
      </c>
      <c r="AD44" s="71">
        <f t="shared" si="8"/>
        <v>1.84</v>
      </c>
      <c r="AE44" s="81">
        <f t="shared" si="9"/>
        <v>0</v>
      </c>
    </row>
    <row r="45" spans="1:31" s="31" customFormat="1" ht="12.75" customHeight="1">
      <c r="A45" s="25">
        <v>354</v>
      </c>
      <c r="B45" s="25"/>
      <c r="C45" s="31">
        <v>1847</v>
      </c>
      <c r="E45" s="55"/>
      <c r="F45" s="53" t="s">
        <v>16</v>
      </c>
      <c r="G45" s="53"/>
      <c r="H45" s="51" t="s">
        <v>217</v>
      </c>
      <c r="J45" s="226" t="s">
        <v>8</v>
      </c>
      <c r="K45" s="89"/>
      <c r="L45" s="216">
        <f t="shared" si="0"/>
        <v>60</v>
      </c>
      <c r="M45" s="18" t="s">
        <v>9</v>
      </c>
      <c r="N45" s="217" t="str">
        <f t="shared" si="1"/>
        <v>R4</v>
      </c>
      <c r="O45" s="214"/>
      <c r="P45" s="218">
        <f t="shared" si="2"/>
        <v>-20</v>
      </c>
      <c r="Q45" s="6"/>
      <c r="R45" s="92">
        <f t="shared" si="3"/>
        <v>878834.26</v>
      </c>
      <c r="S45" s="245"/>
      <c r="T45" s="92">
        <f t="shared" si="4"/>
        <v>17612</v>
      </c>
      <c r="U45" s="68"/>
      <c r="V45" s="71">
        <f t="shared" si="5"/>
        <v>2</v>
      </c>
      <c r="W45" s="70"/>
      <c r="X45" s="92">
        <f t="shared" si="6"/>
        <v>642774</v>
      </c>
      <c r="AA45" s="92">
        <f>ROUND(_xlfn.SUMIFS(Controls!$G:$G,Controls!$A:$A,$A45),2)</f>
        <v>878834.26</v>
      </c>
      <c r="AB45" s="81">
        <f t="shared" si="7"/>
        <v>0</v>
      </c>
      <c r="AD45" s="71">
        <f t="shared" si="8"/>
        <v>2</v>
      </c>
      <c r="AE45" s="81">
        <f t="shared" si="9"/>
        <v>0</v>
      </c>
    </row>
    <row r="46" spans="1:31" s="31" customFormat="1" ht="12.75" customHeight="1">
      <c r="A46" s="25">
        <v>355</v>
      </c>
      <c r="B46" s="25"/>
      <c r="C46" s="89">
        <v>1849</v>
      </c>
      <c r="D46" s="89"/>
      <c r="E46" s="55"/>
      <c r="F46" s="53" t="s">
        <v>17</v>
      </c>
      <c r="G46" s="53"/>
      <c r="H46" s="51" t="s">
        <v>218</v>
      </c>
      <c r="J46" s="226" t="s">
        <v>8</v>
      </c>
      <c r="K46" s="89"/>
      <c r="L46" s="216">
        <f t="shared" si="0"/>
        <v>52</v>
      </c>
      <c r="M46" s="18" t="s">
        <v>9</v>
      </c>
      <c r="N46" s="217" t="str">
        <f t="shared" si="1"/>
        <v>R2.5</v>
      </c>
      <c r="O46" s="214"/>
      <c r="P46" s="218">
        <f t="shared" si="2"/>
        <v>-70</v>
      </c>
      <c r="Q46" s="6"/>
      <c r="R46" s="92">
        <f t="shared" si="3"/>
        <v>22861633.71</v>
      </c>
      <c r="S46" s="245"/>
      <c r="T46" s="92">
        <f t="shared" si="4"/>
        <v>746204</v>
      </c>
      <c r="U46" s="68"/>
      <c r="V46" s="71">
        <f t="shared" si="5"/>
        <v>3.26</v>
      </c>
      <c r="W46" s="70"/>
      <c r="X46" s="92">
        <f t="shared" si="6"/>
        <v>8531641</v>
      </c>
      <c r="AA46" s="92">
        <f>ROUND(_xlfn.SUMIFS(Controls!$G:$G,Controls!$A:$A,$A46),2)</f>
        <v>22861633.71</v>
      </c>
      <c r="AB46" s="81">
        <f t="shared" si="7"/>
        <v>0</v>
      </c>
      <c r="AD46" s="71">
        <f t="shared" si="8"/>
        <v>3.26</v>
      </c>
      <c r="AE46" s="81">
        <f t="shared" si="9"/>
        <v>0</v>
      </c>
    </row>
    <row r="47" spans="1:31" s="31" customFormat="1" ht="12.75" customHeight="1">
      <c r="A47" s="25">
        <v>356</v>
      </c>
      <c r="B47" s="25"/>
      <c r="C47" s="89">
        <v>1848</v>
      </c>
      <c r="D47" s="89"/>
      <c r="E47" s="55"/>
      <c r="F47" s="53" t="s">
        <v>18</v>
      </c>
      <c r="G47" s="53"/>
      <c r="H47" s="51" t="s">
        <v>219</v>
      </c>
      <c r="J47" s="226" t="s">
        <v>8</v>
      </c>
      <c r="K47" s="89"/>
      <c r="L47" s="216">
        <f t="shared" si="0"/>
        <v>60</v>
      </c>
      <c r="M47" s="18" t="s">
        <v>9</v>
      </c>
      <c r="N47" s="217" t="str">
        <f t="shared" si="1"/>
        <v>R3</v>
      </c>
      <c r="O47" s="214"/>
      <c r="P47" s="218">
        <f t="shared" si="2"/>
        <v>-70</v>
      </c>
      <c r="Q47" s="6"/>
      <c r="R47" s="92">
        <f t="shared" si="3"/>
        <v>45621954.93</v>
      </c>
      <c r="S47" s="245"/>
      <c r="T47" s="92">
        <f t="shared" si="4"/>
        <v>1295207</v>
      </c>
      <c r="U47" s="68"/>
      <c r="V47" s="71">
        <f t="shared" si="5"/>
        <v>2.84</v>
      </c>
      <c r="W47" s="70"/>
      <c r="X47" s="92">
        <f t="shared" si="6"/>
        <v>13823101</v>
      </c>
      <c r="AA47" s="92">
        <f>ROUND(_xlfn.SUMIFS(Controls!$G:$G,Controls!$A:$A,$A47),2)</f>
        <v>45621954.93</v>
      </c>
      <c r="AB47" s="81">
        <f t="shared" si="7"/>
        <v>0</v>
      </c>
      <c r="AD47" s="71">
        <f t="shared" si="8"/>
        <v>2.84</v>
      </c>
      <c r="AE47" s="81">
        <f t="shared" si="9"/>
        <v>0</v>
      </c>
    </row>
    <row r="48" spans="1:31" s="31" customFormat="1" ht="12.75" customHeight="1">
      <c r="A48" s="25">
        <v>359</v>
      </c>
      <c r="B48" s="25"/>
      <c r="C48" s="89">
        <v>1846</v>
      </c>
      <c r="D48" s="89"/>
      <c r="E48" s="55"/>
      <c r="F48" s="53" t="s">
        <v>220</v>
      </c>
      <c r="G48" s="53"/>
      <c r="H48" s="131" t="s">
        <v>319</v>
      </c>
      <c r="J48" s="226" t="s">
        <v>8</v>
      </c>
      <c r="K48" s="89"/>
      <c r="L48" s="216">
        <f t="shared" si="0"/>
        <v>50</v>
      </c>
      <c r="M48" s="18" t="s">
        <v>9</v>
      </c>
      <c r="N48" s="217" t="str">
        <f t="shared" si="1"/>
        <v>S2</v>
      </c>
      <c r="O48" s="214"/>
      <c r="P48" s="218">
        <f t="shared" si="2"/>
        <v>0</v>
      </c>
      <c r="Q48" s="6"/>
      <c r="R48" s="179">
        <f t="shared" si="3"/>
        <v>73263</v>
      </c>
      <c r="S48" s="245"/>
      <c r="T48" s="179">
        <f t="shared" si="4"/>
        <v>1465</v>
      </c>
      <c r="U48" s="68"/>
      <c r="V48" s="71">
        <f t="shared" si="5"/>
        <v>2</v>
      </c>
      <c r="W48" s="70"/>
      <c r="X48" s="179">
        <f t="shared" si="6"/>
        <v>12411</v>
      </c>
      <c r="AA48" s="92">
        <f>ROUND(_xlfn.SUMIFS(Controls!$G:$G,Controls!$A:$A,$A48),2)</f>
        <v>73263</v>
      </c>
      <c r="AB48" s="81">
        <f t="shared" si="7"/>
        <v>0</v>
      </c>
      <c r="AD48" s="71">
        <f t="shared" si="8"/>
        <v>2</v>
      </c>
      <c r="AE48" s="81">
        <f t="shared" si="9"/>
        <v>0</v>
      </c>
    </row>
    <row r="49" spans="5:27" s="31" customFormat="1" ht="12.75" customHeight="1">
      <c r="E49" s="55" t="s">
        <v>222</v>
      </c>
      <c r="F49" s="55"/>
      <c r="G49" s="54"/>
      <c r="H49" s="55"/>
      <c r="I49" s="55"/>
      <c r="J49" s="227"/>
      <c r="K49" s="228"/>
      <c r="L49" s="228"/>
      <c r="M49" s="228"/>
      <c r="N49" s="228"/>
      <c r="O49" s="228"/>
      <c r="P49" s="229"/>
      <c r="Q49" s="55"/>
      <c r="R49" s="93">
        <f>SUBTOTAL(9,R43:R48)</f>
        <v>124194603.61000001</v>
      </c>
      <c r="S49" s="93"/>
      <c r="T49" s="93">
        <f>SUBTOTAL(9,T43:T48)</f>
        <v>3048497</v>
      </c>
      <c r="U49" s="56"/>
      <c r="V49" s="69">
        <f>ROUND(T49/R49*100,2)</f>
        <v>2.45</v>
      </c>
      <c r="W49" s="56"/>
      <c r="X49" s="93">
        <f>SUBTOTAL(9,X43:X48)</f>
        <v>37370132</v>
      </c>
      <c r="AA49" s="92"/>
    </row>
    <row r="50" spans="5:27" s="31" customFormat="1" ht="12.75" customHeight="1">
      <c r="E50" s="55"/>
      <c r="F50" s="53"/>
      <c r="G50" s="53"/>
      <c r="J50" s="226"/>
      <c r="K50" s="89"/>
      <c r="L50" s="89"/>
      <c r="M50" s="89"/>
      <c r="N50" s="89"/>
      <c r="O50" s="89"/>
      <c r="P50" s="219"/>
      <c r="R50" s="182"/>
      <c r="S50" s="182"/>
      <c r="T50" s="182"/>
      <c r="V50" s="69"/>
      <c r="X50" s="182"/>
      <c r="AA50" s="92"/>
    </row>
    <row r="51" spans="1:27" s="31" customFormat="1" ht="12.75" customHeight="1">
      <c r="A51" s="25"/>
      <c r="B51" s="25"/>
      <c r="E51" s="54" t="s">
        <v>223</v>
      </c>
      <c r="G51" s="53"/>
      <c r="J51" s="226"/>
      <c r="K51" s="89"/>
      <c r="L51" s="89"/>
      <c r="M51" s="89"/>
      <c r="N51" s="89"/>
      <c r="O51" s="89"/>
      <c r="P51" s="219"/>
      <c r="R51" s="182"/>
      <c r="S51" s="182"/>
      <c r="T51" s="182"/>
      <c r="V51" s="69"/>
      <c r="X51" s="182"/>
      <c r="AA51" s="92"/>
    </row>
    <row r="52" spans="1:31" s="31" customFormat="1" ht="12.75" customHeight="1">
      <c r="A52" s="25">
        <v>360.2</v>
      </c>
      <c r="C52" s="163" t="s">
        <v>301</v>
      </c>
      <c r="E52" s="55"/>
      <c r="F52" s="53" t="s">
        <v>224</v>
      </c>
      <c r="G52" s="53"/>
      <c r="H52" s="51" t="s">
        <v>225</v>
      </c>
      <c r="J52" s="226"/>
      <c r="K52" s="89"/>
      <c r="L52" s="216">
        <f aca="true" t="shared" si="10" ref="L52:L64">VLOOKUP($A52,Deprlot,3,FALSE)</f>
        <v>70</v>
      </c>
      <c r="M52" s="18" t="s">
        <v>9</v>
      </c>
      <c r="N52" s="217" t="str">
        <f aca="true" t="shared" si="11" ref="N52:N64">TRIM(VLOOKUP($A52,Deprlot,4,FALSE))</f>
        <v>R5</v>
      </c>
      <c r="O52" s="214"/>
      <c r="P52" s="218">
        <f aca="true" t="shared" si="12" ref="P52:P64">VLOOKUP($A52,Deprlot,5,FALSE)</f>
        <v>0</v>
      </c>
      <c r="Q52" s="6"/>
      <c r="R52" s="92">
        <f aca="true" t="shared" si="13" ref="R52:R64">VLOOKUP($A52,Deprlot,6,FALSE)</f>
        <v>282000</v>
      </c>
      <c r="S52" s="245"/>
      <c r="T52" s="92">
        <f aca="true" t="shared" si="14" ref="T52:T64">VLOOKUP($A52,Deprlot,9,FALSE)</f>
        <v>4033</v>
      </c>
      <c r="U52" s="68"/>
      <c r="V52" s="71">
        <f>ROUND(T52/R52*100,2)</f>
        <v>1.43</v>
      </c>
      <c r="W52" s="70"/>
      <c r="X52" s="92">
        <f aca="true" t="shared" si="15" ref="X52:X64">VLOOKUP($A52,Deprlot,7,FALSE)</f>
        <v>56490</v>
      </c>
      <c r="AA52" s="92">
        <f>ROUND(_xlfn.SUMIFS(Controls!$G:$G,Controls!$A:$A,$A52),2)</f>
        <v>282000</v>
      </c>
      <c r="AB52" s="81">
        <f aca="true" t="shared" si="16" ref="AB52:AB64">R52-AA52</f>
        <v>0</v>
      </c>
      <c r="AD52" s="71">
        <f aca="true" t="shared" si="17" ref="AD52:AD64">VLOOKUP($A52,Deprlot,10,FALSE)</f>
        <v>1.43</v>
      </c>
      <c r="AE52" s="81">
        <f aca="true" t="shared" si="18" ref="AE52:AE64">AD52-V52</f>
        <v>0</v>
      </c>
    </row>
    <row r="53" spans="1:31" s="31" customFormat="1" ht="12.75" customHeight="1">
      <c r="A53" s="25">
        <v>362</v>
      </c>
      <c r="B53" s="25"/>
      <c r="C53" s="31">
        <v>1741</v>
      </c>
      <c r="E53" s="55"/>
      <c r="F53" s="53" t="s">
        <v>19</v>
      </c>
      <c r="G53" s="53"/>
      <c r="H53" s="51" t="s">
        <v>226</v>
      </c>
      <c r="J53" s="226"/>
      <c r="K53" s="89"/>
      <c r="L53" s="216">
        <f t="shared" si="10"/>
        <v>47</v>
      </c>
      <c r="M53" s="18" t="s">
        <v>9</v>
      </c>
      <c r="N53" s="217" t="str">
        <f t="shared" si="11"/>
        <v>R3</v>
      </c>
      <c r="O53" s="214"/>
      <c r="P53" s="218">
        <f t="shared" si="12"/>
        <v>-5</v>
      </c>
      <c r="Q53" s="6"/>
      <c r="R53" s="92">
        <f t="shared" si="13"/>
        <v>3289858.8</v>
      </c>
      <c r="S53" s="245"/>
      <c r="T53" s="92">
        <f t="shared" si="14"/>
        <v>73578</v>
      </c>
      <c r="U53" s="68"/>
      <c r="V53" s="71">
        <f aca="true" t="shared" si="19" ref="V53:V64">ROUND(T53/R53*100,2)</f>
        <v>2.24</v>
      </c>
      <c r="W53" s="70"/>
      <c r="X53" s="92">
        <f t="shared" si="15"/>
        <v>1021848</v>
      </c>
      <c r="AA53" s="92">
        <f>ROUND(_xlfn.SUMIFS(Controls!$G:$G,Controls!$A:$A,$A53),2)</f>
        <v>3289858.8</v>
      </c>
      <c r="AB53" s="81">
        <f t="shared" si="16"/>
        <v>0</v>
      </c>
      <c r="AD53" s="71">
        <f t="shared" si="17"/>
        <v>2.24</v>
      </c>
      <c r="AE53" s="81">
        <f t="shared" si="18"/>
        <v>0</v>
      </c>
    </row>
    <row r="54" spans="1:31" s="31" customFormat="1" ht="12.75" customHeight="1">
      <c r="A54" s="25">
        <v>364</v>
      </c>
      <c r="B54" s="25"/>
      <c r="C54" s="31">
        <v>1749</v>
      </c>
      <c r="E54" s="55"/>
      <c r="F54" s="53" t="s">
        <v>20</v>
      </c>
      <c r="G54" s="53"/>
      <c r="H54" s="51" t="s">
        <v>227</v>
      </c>
      <c r="J54" s="226"/>
      <c r="K54" s="89"/>
      <c r="L54" s="216">
        <f t="shared" si="10"/>
        <v>47</v>
      </c>
      <c r="M54" s="18" t="s">
        <v>9</v>
      </c>
      <c r="N54" s="217" t="str">
        <f t="shared" si="11"/>
        <v>R1.5</v>
      </c>
      <c r="O54" s="214"/>
      <c r="P54" s="218">
        <f t="shared" si="12"/>
        <v>-60</v>
      </c>
      <c r="Q54" s="6"/>
      <c r="R54" s="92">
        <f t="shared" si="13"/>
        <v>75601860.44</v>
      </c>
      <c r="S54" s="245"/>
      <c r="T54" s="92">
        <f t="shared" si="14"/>
        <v>2576511</v>
      </c>
      <c r="U54" s="68"/>
      <c r="V54" s="71">
        <f t="shared" si="19"/>
        <v>3.41</v>
      </c>
      <c r="W54" s="70"/>
      <c r="X54" s="92">
        <f t="shared" si="15"/>
        <v>29150175</v>
      </c>
      <c r="AA54" s="92">
        <f>ROUND(_xlfn.SUMIFS(Controls!$G:$G,Controls!$A:$A,$A54),2)</f>
        <v>75601860.44</v>
      </c>
      <c r="AB54" s="81">
        <f t="shared" si="16"/>
        <v>0</v>
      </c>
      <c r="AD54" s="71">
        <f t="shared" si="17"/>
        <v>3.41</v>
      </c>
      <c r="AE54" s="81">
        <f t="shared" si="18"/>
        <v>0</v>
      </c>
    </row>
    <row r="55" spans="1:31" s="31" customFormat="1" ht="12.75" customHeight="1">
      <c r="A55" s="25">
        <v>365</v>
      </c>
      <c r="B55" s="25"/>
      <c r="C55" s="88" t="s">
        <v>64</v>
      </c>
      <c r="D55" s="88"/>
      <c r="E55" s="55"/>
      <c r="F55" s="53" t="s">
        <v>21</v>
      </c>
      <c r="G55" s="53"/>
      <c r="H55" s="51" t="s">
        <v>219</v>
      </c>
      <c r="J55" s="226"/>
      <c r="K55" s="89"/>
      <c r="L55" s="216">
        <f t="shared" si="10"/>
        <v>52</v>
      </c>
      <c r="M55" s="18" t="s">
        <v>9</v>
      </c>
      <c r="N55" s="217" t="str">
        <f t="shared" si="11"/>
        <v>R2.5</v>
      </c>
      <c r="O55" s="214"/>
      <c r="P55" s="218">
        <f t="shared" si="12"/>
        <v>-60</v>
      </c>
      <c r="Q55" s="6"/>
      <c r="R55" s="92">
        <f t="shared" si="13"/>
        <v>93875165.89</v>
      </c>
      <c r="S55" s="245"/>
      <c r="T55" s="92">
        <f t="shared" si="14"/>
        <v>2883845</v>
      </c>
      <c r="U55" s="68"/>
      <c r="V55" s="71">
        <f t="shared" si="19"/>
        <v>3.07</v>
      </c>
      <c r="W55" s="70"/>
      <c r="X55" s="92">
        <f t="shared" si="15"/>
        <v>31574543</v>
      </c>
      <c r="AA55" s="92">
        <f>ROUND(_xlfn.SUMIFS(Controls!$G:$G,Controls!$A:$A,$A55),2)</f>
        <v>93875165.89</v>
      </c>
      <c r="AB55" s="81">
        <f t="shared" si="16"/>
        <v>0</v>
      </c>
      <c r="AD55" s="71">
        <f t="shared" si="17"/>
        <v>3.07</v>
      </c>
      <c r="AE55" s="81">
        <f t="shared" si="18"/>
        <v>0</v>
      </c>
    </row>
    <row r="56" spans="1:31" s="31" customFormat="1" ht="12.75" customHeight="1">
      <c r="A56" s="25">
        <v>367</v>
      </c>
      <c r="B56" s="25"/>
      <c r="C56" s="89">
        <v>1755</v>
      </c>
      <c r="D56" s="89"/>
      <c r="E56" s="55"/>
      <c r="F56" s="53" t="s">
        <v>22</v>
      </c>
      <c r="G56" s="53"/>
      <c r="H56" s="51" t="s">
        <v>228</v>
      </c>
      <c r="J56" s="226"/>
      <c r="K56" s="89"/>
      <c r="L56" s="216">
        <f t="shared" si="10"/>
        <v>50</v>
      </c>
      <c r="M56" s="18" t="s">
        <v>9</v>
      </c>
      <c r="N56" s="217" t="str">
        <f t="shared" si="11"/>
        <v>R3</v>
      </c>
      <c r="O56" s="214"/>
      <c r="P56" s="218">
        <f t="shared" si="12"/>
        <v>-10</v>
      </c>
      <c r="Q56" s="6"/>
      <c r="R56" s="92">
        <f t="shared" si="13"/>
        <v>3097193.94</v>
      </c>
      <c r="S56" s="245"/>
      <c r="T56" s="92">
        <f t="shared" si="14"/>
        <v>68138</v>
      </c>
      <c r="U56" s="68"/>
      <c r="V56" s="71">
        <f t="shared" si="19"/>
        <v>2.2</v>
      </c>
      <c r="W56" s="70"/>
      <c r="X56" s="92">
        <f t="shared" si="15"/>
        <v>1238516</v>
      </c>
      <c r="AA56" s="92">
        <f>ROUND(_xlfn.SUMIFS(Controls!$G:$G,Controls!$A:$A,$A56),2)</f>
        <v>3097193.94</v>
      </c>
      <c r="AB56" s="81">
        <f t="shared" si="16"/>
        <v>0</v>
      </c>
      <c r="AD56" s="71">
        <f t="shared" si="17"/>
        <v>2.2</v>
      </c>
      <c r="AE56" s="81">
        <f t="shared" si="18"/>
        <v>0</v>
      </c>
    </row>
    <row r="57" spans="1:31" s="31" customFormat="1" ht="12.75" customHeight="1">
      <c r="A57" s="25">
        <v>368.1</v>
      </c>
      <c r="B57" s="25"/>
      <c r="C57" s="89">
        <v>1751</v>
      </c>
      <c r="D57" s="89"/>
      <c r="E57" s="55"/>
      <c r="F57" s="53" t="s">
        <v>229</v>
      </c>
      <c r="G57" s="53"/>
      <c r="H57" s="51" t="s">
        <v>230</v>
      </c>
      <c r="J57" s="226"/>
      <c r="K57" s="89"/>
      <c r="L57" s="216">
        <f t="shared" si="10"/>
        <v>34</v>
      </c>
      <c r="M57" s="18" t="s">
        <v>9</v>
      </c>
      <c r="N57" s="217" t="str">
        <f t="shared" si="11"/>
        <v>R2.5</v>
      </c>
      <c r="O57" s="214"/>
      <c r="P57" s="218">
        <f t="shared" si="12"/>
        <v>-20</v>
      </c>
      <c r="Q57" s="6"/>
      <c r="R57" s="92">
        <f t="shared" si="13"/>
        <v>69024149.65</v>
      </c>
      <c r="S57" s="245"/>
      <c r="T57" s="92">
        <f t="shared" si="14"/>
        <v>2435172</v>
      </c>
      <c r="U57" s="68"/>
      <c r="V57" s="71">
        <f t="shared" si="19"/>
        <v>3.53</v>
      </c>
      <c r="W57" s="70"/>
      <c r="X57" s="92">
        <f t="shared" si="15"/>
        <v>26297861</v>
      </c>
      <c r="AA57" s="92">
        <f>ROUND(_xlfn.SUMIFS(Controls!$G:$G,Controls!$A:$A,$A57),2)</f>
        <v>69024149.65</v>
      </c>
      <c r="AB57" s="81">
        <f t="shared" si="16"/>
        <v>0</v>
      </c>
      <c r="AD57" s="71">
        <f t="shared" si="17"/>
        <v>3.53</v>
      </c>
      <c r="AE57" s="81">
        <f t="shared" si="18"/>
        <v>0</v>
      </c>
    </row>
    <row r="58" spans="1:31" s="31" customFormat="1" ht="12.75" customHeight="1">
      <c r="A58" s="25">
        <v>368.2</v>
      </c>
      <c r="B58" s="25"/>
      <c r="C58" s="89">
        <v>1752</v>
      </c>
      <c r="D58" s="89"/>
      <c r="E58" s="55"/>
      <c r="F58" s="53" t="s">
        <v>231</v>
      </c>
      <c r="G58" s="53"/>
      <c r="H58" s="51" t="s">
        <v>232</v>
      </c>
      <c r="J58" s="226"/>
      <c r="K58" s="89"/>
      <c r="L58" s="216">
        <f t="shared" si="10"/>
        <v>34</v>
      </c>
      <c r="M58" s="18" t="s">
        <v>9</v>
      </c>
      <c r="N58" s="217" t="str">
        <f t="shared" si="11"/>
        <v>R2.5</v>
      </c>
      <c r="O58" s="214"/>
      <c r="P58" s="218">
        <f t="shared" si="12"/>
        <v>-20</v>
      </c>
      <c r="Q58" s="6"/>
      <c r="R58" s="92">
        <f t="shared" si="13"/>
        <v>12591273.83</v>
      </c>
      <c r="S58" s="245"/>
      <c r="T58" s="92">
        <f t="shared" si="14"/>
        <v>444220</v>
      </c>
      <c r="U58" s="68"/>
      <c r="V58" s="71">
        <f t="shared" si="19"/>
        <v>3.53</v>
      </c>
      <c r="W58" s="70"/>
      <c r="X58" s="92">
        <f t="shared" si="15"/>
        <v>3802327</v>
      </c>
      <c r="AA58" s="92">
        <f>ROUND(_xlfn.SUMIFS(Controls!$G:$G,Controls!$A:$A,$A58),2)</f>
        <v>12591273.83</v>
      </c>
      <c r="AB58" s="81">
        <f t="shared" si="16"/>
        <v>0</v>
      </c>
      <c r="AD58" s="71">
        <f t="shared" si="17"/>
        <v>3.53</v>
      </c>
      <c r="AE58" s="81">
        <f t="shared" si="18"/>
        <v>0</v>
      </c>
    </row>
    <row r="59" spans="1:31" s="31" customFormat="1" ht="12.75" customHeight="1">
      <c r="A59" s="25">
        <v>369.01</v>
      </c>
      <c r="B59" s="25"/>
      <c r="C59" s="89">
        <v>1753</v>
      </c>
      <c r="D59" s="89"/>
      <c r="E59" s="55"/>
      <c r="F59" s="53" t="s">
        <v>233</v>
      </c>
      <c r="G59" s="53"/>
      <c r="H59" s="51" t="s">
        <v>234</v>
      </c>
      <c r="J59" s="226"/>
      <c r="K59" s="89"/>
      <c r="L59" s="216">
        <f t="shared" si="10"/>
        <v>46</v>
      </c>
      <c r="M59" s="18" t="s">
        <v>9</v>
      </c>
      <c r="N59" s="217" t="str">
        <f t="shared" si="11"/>
        <v>R3</v>
      </c>
      <c r="O59" s="214"/>
      <c r="P59" s="218">
        <f t="shared" si="12"/>
        <v>-60</v>
      </c>
      <c r="Q59" s="6"/>
      <c r="R59" s="92">
        <f t="shared" si="13"/>
        <v>67238249.06</v>
      </c>
      <c r="S59" s="245"/>
      <c r="T59" s="92">
        <f t="shared" si="14"/>
        <v>2334512</v>
      </c>
      <c r="U59" s="68"/>
      <c r="V59" s="71">
        <f t="shared" si="19"/>
        <v>3.47</v>
      </c>
      <c r="W59" s="70"/>
      <c r="X59" s="92">
        <f t="shared" si="15"/>
        <v>33734931</v>
      </c>
      <c r="AA59" s="92">
        <f>ROUND(_xlfn.SUMIFS(Controls!$G:$G,Controls!$A:$A,$A59),2)</f>
        <v>67238249.06</v>
      </c>
      <c r="AB59" s="81">
        <f t="shared" si="16"/>
        <v>0</v>
      </c>
      <c r="AD59" s="71">
        <f t="shared" si="17"/>
        <v>3.47</v>
      </c>
      <c r="AE59" s="81">
        <f t="shared" si="18"/>
        <v>0</v>
      </c>
    </row>
    <row r="60" spans="1:31" s="31" customFormat="1" ht="12.75" customHeight="1">
      <c r="A60" s="25">
        <v>369.02</v>
      </c>
      <c r="B60" s="25"/>
      <c r="C60" s="89">
        <v>1756</v>
      </c>
      <c r="D60" s="89"/>
      <c r="E60" s="55"/>
      <c r="F60" s="53" t="s">
        <v>235</v>
      </c>
      <c r="G60" s="53"/>
      <c r="H60" s="51" t="s">
        <v>236</v>
      </c>
      <c r="J60" s="226"/>
      <c r="K60" s="89"/>
      <c r="L60" s="216">
        <f t="shared" si="10"/>
        <v>45</v>
      </c>
      <c r="M60" s="18" t="s">
        <v>9</v>
      </c>
      <c r="N60" s="217" t="str">
        <f t="shared" si="11"/>
        <v>R3</v>
      </c>
      <c r="O60" s="214"/>
      <c r="P60" s="218">
        <f t="shared" si="12"/>
        <v>-10</v>
      </c>
      <c r="Q60" s="6"/>
      <c r="R60" s="92">
        <f t="shared" si="13"/>
        <v>2076694.98</v>
      </c>
      <c r="S60" s="245"/>
      <c r="T60" s="92">
        <f t="shared" si="14"/>
        <v>50713</v>
      </c>
      <c r="U60" s="68"/>
      <c r="V60" s="71">
        <f t="shared" si="19"/>
        <v>2.44</v>
      </c>
      <c r="W60" s="70"/>
      <c r="X60" s="92">
        <f t="shared" si="15"/>
        <v>1021271</v>
      </c>
      <c r="AA60" s="92">
        <f>ROUND(_xlfn.SUMIFS(Controls!$G:$G,Controls!$A:$A,$A60),2)</f>
        <v>2076694.98</v>
      </c>
      <c r="AB60" s="81">
        <f t="shared" si="16"/>
        <v>0</v>
      </c>
      <c r="AD60" s="71">
        <f t="shared" si="17"/>
        <v>2.44</v>
      </c>
      <c r="AE60" s="81">
        <f t="shared" si="18"/>
        <v>0</v>
      </c>
    </row>
    <row r="61" spans="1:31" s="55" customFormat="1" ht="12.75" customHeight="1">
      <c r="A61" s="25">
        <v>370.1</v>
      </c>
      <c r="B61" s="25"/>
      <c r="C61" s="51">
        <v>1758</v>
      </c>
      <c r="D61" s="51"/>
      <c r="F61" s="53" t="s">
        <v>237</v>
      </c>
      <c r="G61" s="53"/>
      <c r="H61" s="51" t="s">
        <v>238</v>
      </c>
      <c r="I61" s="31"/>
      <c r="J61" s="226"/>
      <c r="K61" s="89"/>
      <c r="L61" s="216">
        <f t="shared" si="10"/>
        <v>21</v>
      </c>
      <c r="M61" s="18" t="s">
        <v>9</v>
      </c>
      <c r="N61" s="217" t="str">
        <f t="shared" si="11"/>
        <v>S2</v>
      </c>
      <c r="O61" s="214"/>
      <c r="P61" s="218">
        <f t="shared" si="12"/>
        <v>-2</v>
      </c>
      <c r="Q61" s="6"/>
      <c r="R61" s="92">
        <f t="shared" si="13"/>
        <v>14245974.39</v>
      </c>
      <c r="S61" s="245"/>
      <c r="T61" s="92">
        <f t="shared" si="14"/>
        <v>691671</v>
      </c>
      <c r="U61" s="68"/>
      <c r="V61" s="71">
        <f t="shared" si="19"/>
        <v>4.86</v>
      </c>
      <c r="W61" s="70"/>
      <c r="X61" s="92">
        <f t="shared" si="15"/>
        <v>6207289</v>
      </c>
      <c r="AA61" s="92">
        <f>ROUND(_xlfn.SUMIFS(Controls!$G:$G,Controls!$A:$A,$A61),2)</f>
        <v>14245974.39</v>
      </c>
      <c r="AB61" s="81">
        <f t="shared" si="16"/>
        <v>0</v>
      </c>
      <c r="AD61" s="71">
        <f t="shared" si="17"/>
        <v>4.86</v>
      </c>
      <c r="AE61" s="81">
        <f t="shared" si="18"/>
        <v>0</v>
      </c>
    </row>
    <row r="62" spans="1:31" s="31" customFormat="1" ht="12.75" customHeight="1">
      <c r="A62" s="25">
        <v>370.2</v>
      </c>
      <c r="B62" s="25"/>
      <c r="C62" s="90">
        <v>1759</v>
      </c>
      <c r="D62" s="90"/>
      <c r="E62" s="55"/>
      <c r="F62" s="53" t="s">
        <v>239</v>
      </c>
      <c r="G62" s="53"/>
      <c r="H62" s="51" t="s">
        <v>240</v>
      </c>
      <c r="J62" s="226"/>
      <c r="K62" s="89"/>
      <c r="L62" s="216">
        <f t="shared" si="10"/>
        <v>30</v>
      </c>
      <c r="M62" s="18" t="s">
        <v>9</v>
      </c>
      <c r="N62" s="217" t="str">
        <f t="shared" si="11"/>
        <v>L3</v>
      </c>
      <c r="O62" s="214"/>
      <c r="P62" s="218">
        <f t="shared" si="12"/>
        <v>0</v>
      </c>
      <c r="Q62" s="6"/>
      <c r="R62" s="92">
        <f t="shared" si="13"/>
        <v>651341.47</v>
      </c>
      <c r="S62" s="245"/>
      <c r="T62" s="92">
        <f t="shared" si="14"/>
        <v>21690</v>
      </c>
      <c r="U62" s="68"/>
      <c r="V62" s="71">
        <f t="shared" si="19"/>
        <v>3.33</v>
      </c>
      <c r="W62" s="70"/>
      <c r="X62" s="92">
        <f t="shared" si="15"/>
        <v>72818</v>
      </c>
      <c r="AA62" s="92">
        <f>ROUND(_xlfn.SUMIFS(Controls!$G:$G,Controls!$A:$A,$A62),2)</f>
        <v>651341.47</v>
      </c>
      <c r="AB62" s="81">
        <f t="shared" si="16"/>
        <v>0</v>
      </c>
      <c r="AD62" s="71">
        <f t="shared" si="17"/>
        <v>3.33</v>
      </c>
      <c r="AE62" s="81">
        <f t="shared" si="18"/>
        <v>0</v>
      </c>
    </row>
    <row r="63" spans="1:31" s="31" customFormat="1" ht="12.75" customHeight="1">
      <c r="A63" s="25">
        <v>373</v>
      </c>
      <c r="B63" s="25"/>
      <c r="C63" s="90">
        <v>1754</v>
      </c>
      <c r="D63" s="90"/>
      <c r="E63" s="55"/>
      <c r="F63" s="53" t="s">
        <v>241</v>
      </c>
      <c r="G63" s="53"/>
      <c r="H63" s="51" t="s">
        <v>242</v>
      </c>
      <c r="J63" s="226"/>
      <c r="K63" s="89"/>
      <c r="L63" s="216">
        <f t="shared" si="10"/>
        <v>27</v>
      </c>
      <c r="M63" s="18" t="s">
        <v>9</v>
      </c>
      <c r="N63" s="217" t="str">
        <f t="shared" si="11"/>
        <v>R2</v>
      </c>
      <c r="O63" s="214"/>
      <c r="P63" s="218">
        <f t="shared" si="12"/>
        <v>-25</v>
      </c>
      <c r="Q63" s="6"/>
      <c r="R63" s="92">
        <f t="shared" si="13"/>
        <v>6053458.58</v>
      </c>
      <c r="S63" s="245"/>
      <c r="T63" s="92">
        <f t="shared" si="14"/>
        <v>279972</v>
      </c>
      <c r="U63" s="68"/>
      <c r="V63" s="71">
        <f t="shared" si="19"/>
        <v>4.62</v>
      </c>
      <c r="W63" s="70"/>
      <c r="X63" s="92">
        <f t="shared" si="15"/>
        <v>2324282</v>
      </c>
      <c r="AA63" s="92">
        <f>ROUND(_xlfn.SUMIFS(Controls!$G:$G,Controls!$A:$A,$A63),2)</f>
        <v>6053458.58</v>
      </c>
      <c r="AB63" s="81">
        <f t="shared" si="16"/>
        <v>0</v>
      </c>
      <c r="AD63" s="71">
        <f t="shared" si="17"/>
        <v>4.62</v>
      </c>
      <c r="AE63" s="81">
        <f t="shared" si="18"/>
        <v>0</v>
      </c>
    </row>
    <row r="64" spans="1:31" s="31" customFormat="1" ht="12.75" customHeight="1">
      <c r="A64" s="25">
        <v>373.2</v>
      </c>
      <c r="B64" s="25"/>
      <c r="C64" s="90">
        <v>1757</v>
      </c>
      <c r="D64" s="90"/>
      <c r="E64" s="55"/>
      <c r="F64" s="53" t="s">
        <v>23</v>
      </c>
      <c r="G64" s="53"/>
      <c r="H64" s="51" t="s">
        <v>243</v>
      </c>
      <c r="J64" s="226"/>
      <c r="K64" s="89"/>
      <c r="L64" s="216">
        <f t="shared" si="10"/>
        <v>27</v>
      </c>
      <c r="M64" s="18" t="s">
        <v>9</v>
      </c>
      <c r="N64" s="217" t="str">
        <f t="shared" si="11"/>
        <v>R2</v>
      </c>
      <c r="O64" s="214"/>
      <c r="P64" s="218">
        <f t="shared" si="12"/>
        <v>-10</v>
      </c>
      <c r="Q64" s="6"/>
      <c r="R64" s="179">
        <f t="shared" si="13"/>
        <v>653788.61</v>
      </c>
      <c r="S64" s="245"/>
      <c r="T64" s="179">
        <f t="shared" si="14"/>
        <v>26609</v>
      </c>
      <c r="U64" s="68"/>
      <c r="V64" s="71">
        <f t="shared" si="19"/>
        <v>4.07</v>
      </c>
      <c r="W64" s="70"/>
      <c r="X64" s="179">
        <f t="shared" si="15"/>
        <v>551668</v>
      </c>
      <c r="AA64" s="92">
        <f>ROUND(_xlfn.SUMIFS(Controls!$G:$G,Controls!$A:$A,$A64),2)</f>
        <v>653788.61</v>
      </c>
      <c r="AB64" s="81">
        <f t="shared" si="16"/>
        <v>0</v>
      </c>
      <c r="AD64" s="71">
        <f t="shared" si="17"/>
        <v>4.07</v>
      </c>
      <c r="AE64" s="81">
        <f t="shared" si="18"/>
        <v>0</v>
      </c>
    </row>
    <row r="65" spans="5:27" s="31" customFormat="1" ht="12.75" customHeight="1">
      <c r="E65" s="55" t="s">
        <v>244</v>
      </c>
      <c r="F65" s="54"/>
      <c r="G65" s="54"/>
      <c r="H65" s="55"/>
      <c r="I65" s="55"/>
      <c r="J65" s="227"/>
      <c r="K65" s="228"/>
      <c r="L65" s="228"/>
      <c r="M65" s="228"/>
      <c r="N65" s="228"/>
      <c r="O65" s="228"/>
      <c r="P65" s="229"/>
      <c r="Q65" s="55"/>
      <c r="R65" s="183">
        <f>SUBTOTAL(9,R52:R64)</f>
        <v>348681009.64000005</v>
      </c>
      <c r="S65" s="183"/>
      <c r="T65" s="183">
        <f>SUBTOTAL(9,T52:T64)</f>
        <v>11890664</v>
      </c>
      <c r="U65" s="55"/>
      <c r="V65" s="69">
        <f>ROUND(T65/R65*100,2)</f>
        <v>3.41</v>
      </c>
      <c r="W65" s="55"/>
      <c r="X65" s="183">
        <f>SUBTOTAL(9,X52:X64)</f>
        <v>137054019</v>
      </c>
      <c r="AA65" s="92"/>
    </row>
    <row r="66" spans="5:27" s="31" customFormat="1" ht="12.75" customHeight="1">
      <c r="E66" s="55"/>
      <c r="F66" s="53"/>
      <c r="G66" s="53"/>
      <c r="J66" s="226"/>
      <c r="K66" s="89"/>
      <c r="L66" s="89"/>
      <c r="M66" s="89"/>
      <c r="N66" s="89"/>
      <c r="O66" s="89"/>
      <c r="P66" s="219"/>
      <c r="R66" s="182"/>
      <c r="S66" s="182"/>
      <c r="T66" s="182"/>
      <c r="V66" s="69"/>
      <c r="X66" s="182"/>
      <c r="AA66" s="92"/>
    </row>
    <row r="67" spans="1:27" s="31" customFormat="1" ht="12.75" customHeight="1">
      <c r="A67" s="25"/>
      <c r="B67" s="25"/>
      <c r="E67" s="55" t="s">
        <v>245</v>
      </c>
      <c r="F67" s="53"/>
      <c r="G67" s="53"/>
      <c r="J67" s="226"/>
      <c r="K67" s="89"/>
      <c r="L67" s="89"/>
      <c r="M67" s="89"/>
      <c r="N67" s="89"/>
      <c r="O67" s="89"/>
      <c r="P67" s="219"/>
      <c r="R67" s="182"/>
      <c r="S67" s="182"/>
      <c r="T67" s="182"/>
      <c r="V67" s="57"/>
      <c r="X67" s="182"/>
      <c r="AA67" s="92">
        <f>ROUND(_xlfn.SUMIFS(Controls!$G:$G,Controls!$A:$A,$A67),2)</f>
        <v>0</v>
      </c>
    </row>
    <row r="68" spans="1:31" s="31" customFormat="1" ht="12.75" customHeight="1">
      <c r="A68" s="25">
        <v>390</v>
      </c>
      <c r="B68" s="25"/>
      <c r="C68" s="31">
        <v>1379</v>
      </c>
      <c r="E68" s="55"/>
      <c r="F68" s="53" t="s">
        <v>24</v>
      </c>
      <c r="G68" s="53"/>
      <c r="H68" s="131" t="s">
        <v>282</v>
      </c>
      <c r="J68" s="230"/>
      <c r="K68" s="230"/>
      <c r="L68" s="216">
        <f>VLOOKUP($A68,Deprlot,3,FALSE)</f>
        <v>40</v>
      </c>
      <c r="M68" s="18" t="s">
        <v>9</v>
      </c>
      <c r="N68" s="217" t="str">
        <f>TRIM(VLOOKUP($A68,Deprlot,4,FALSE))</f>
        <v>R1</v>
      </c>
      <c r="O68" s="214"/>
      <c r="P68" s="218">
        <f>VLOOKUP($A68,Deprlot,5,FALSE)</f>
        <v>0</v>
      </c>
      <c r="Q68" s="6"/>
      <c r="R68" s="92">
        <f>VLOOKUP($A68,Deprlot,6,FALSE)</f>
        <v>903406.39</v>
      </c>
      <c r="S68" s="245"/>
      <c r="T68" s="92">
        <f>VLOOKUP($A68,Deprlot,9,FALSE)</f>
        <v>22585</v>
      </c>
      <c r="U68" s="68"/>
      <c r="V68" s="71">
        <f aca="true" t="shared" si="20" ref="V68:V77">ROUND(T68/R68*100,2)</f>
        <v>2.5</v>
      </c>
      <c r="W68" s="70"/>
      <c r="X68" s="92">
        <f>VLOOKUP($A68,Deprlot,7,FALSE)</f>
        <v>436181</v>
      </c>
      <c r="AA68" s="92">
        <f>ROUND(_xlfn.SUMIFS(Controls!$G:$G,Controls!$A:$A,$A68),2)</f>
        <v>903406.39</v>
      </c>
      <c r="AB68" s="81">
        <f aca="true" t="shared" si="21" ref="AB68:AB77">R68-AA68</f>
        <v>0</v>
      </c>
      <c r="AD68" s="71">
        <f>VLOOKUP($A68,Deprlot,10,FALSE)</f>
        <v>2.5</v>
      </c>
      <c r="AE68" s="81">
        <f aca="true" t="shared" si="22" ref="AE68:AE77">AD68-V68</f>
        <v>0</v>
      </c>
    </row>
    <row r="69" spans="1:31" s="31" customFormat="1" ht="12.75" customHeight="1">
      <c r="A69" s="25">
        <v>390.11</v>
      </c>
      <c r="B69" s="25"/>
      <c r="C69" s="31">
        <v>1778</v>
      </c>
      <c r="E69" s="55"/>
      <c r="F69" s="53" t="s">
        <v>246</v>
      </c>
      <c r="G69" s="53"/>
      <c r="H69" s="51" t="s">
        <v>247</v>
      </c>
      <c r="J69" s="226"/>
      <c r="K69" s="89"/>
      <c r="L69" s="216">
        <f>VLOOKUP($A69,Deprlot,3,FALSE)</f>
        <v>40</v>
      </c>
      <c r="M69" s="18" t="s">
        <v>9</v>
      </c>
      <c r="N69" s="217" t="str">
        <f>TRIM(VLOOKUP($A69,Deprlot,4,FALSE))</f>
        <v>R1</v>
      </c>
      <c r="O69" s="214"/>
      <c r="P69" s="218">
        <f>VLOOKUP($A69,Deprlot,5,FALSE)</f>
        <v>0</v>
      </c>
      <c r="Q69" s="6"/>
      <c r="R69" s="92">
        <f>VLOOKUP($A69,Deprlot,6,FALSE)</f>
        <v>4981389.66</v>
      </c>
      <c r="S69" s="245"/>
      <c r="T69" s="92">
        <f>VLOOKUP($A69,Deprlot,9,FALSE)</f>
        <v>124535</v>
      </c>
      <c r="U69" s="68"/>
      <c r="V69" s="71">
        <f t="shared" si="20"/>
        <v>2.5</v>
      </c>
      <c r="W69" s="70"/>
      <c r="X69" s="92">
        <f>VLOOKUP($A69,Deprlot,7,FALSE)</f>
        <v>1899606</v>
      </c>
      <c r="AA69" s="92">
        <f>ROUND(_xlfn.SUMIFS(Controls!$G:$G,Controls!$A:$A,$A69),2)</f>
        <v>4981389.66</v>
      </c>
      <c r="AB69" s="81">
        <f t="shared" si="21"/>
        <v>0</v>
      </c>
      <c r="AD69" s="71">
        <f>VLOOKUP($A69,Deprlot,10,FALSE)</f>
        <v>2.5</v>
      </c>
      <c r="AE69" s="81">
        <f t="shared" si="22"/>
        <v>0</v>
      </c>
    </row>
    <row r="70" spans="1:31" s="31" customFormat="1" ht="12.75" customHeight="1">
      <c r="A70" s="25">
        <v>390.12</v>
      </c>
      <c r="B70" s="25"/>
      <c r="C70" s="31">
        <v>1779</v>
      </c>
      <c r="E70" s="55"/>
      <c r="F70" s="53" t="s">
        <v>248</v>
      </c>
      <c r="G70" s="53"/>
      <c r="H70" s="51" t="s">
        <v>249</v>
      </c>
      <c r="J70" s="226"/>
      <c r="K70" s="89"/>
      <c r="L70" s="216">
        <f>VLOOKUP($A70,Deprlot,3,FALSE)</f>
        <v>40</v>
      </c>
      <c r="M70" s="18" t="s">
        <v>9</v>
      </c>
      <c r="N70" s="217" t="str">
        <f>TRIM(VLOOKUP($A70,Deprlot,4,FALSE))</f>
        <v>R1</v>
      </c>
      <c r="O70" s="214"/>
      <c r="P70" s="218">
        <f>VLOOKUP($A70,Deprlot,5,FALSE)</f>
        <v>0</v>
      </c>
      <c r="Q70" s="6"/>
      <c r="R70" s="92">
        <f>VLOOKUP($A70,Deprlot,6,FALSE)</f>
        <v>6358301.06</v>
      </c>
      <c r="S70" s="245"/>
      <c r="T70" s="92">
        <f>VLOOKUP($A70,Deprlot,9,FALSE)</f>
        <v>158958</v>
      </c>
      <c r="U70" s="68"/>
      <c r="V70" s="71">
        <f t="shared" si="20"/>
        <v>2.5</v>
      </c>
      <c r="W70" s="70"/>
      <c r="X70" s="92">
        <f>VLOOKUP($A70,Deprlot,7,FALSE)</f>
        <v>2271342</v>
      </c>
      <c r="AA70" s="92">
        <f>ROUND(_xlfn.SUMIFS(Controls!$G:$G,Controls!$A:$A,$A70),2)</f>
        <v>6358301.06</v>
      </c>
      <c r="AB70" s="81">
        <f t="shared" si="21"/>
        <v>0</v>
      </c>
      <c r="AD70" s="71">
        <f>VLOOKUP($A70,Deprlot,10,FALSE)</f>
        <v>2.5</v>
      </c>
      <c r="AE70" s="81">
        <f t="shared" si="22"/>
        <v>0</v>
      </c>
    </row>
    <row r="71" spans="1:31" ht="12.75" customHeight="1">
      <c r="A71" s="95">
        <v>391.12</v>
      </c>
      <c r="C71" s="25">
        <v>1780</v>
      </c>
      <c r="E71" s="55"/>
      <c r="F71" s="53" t="s">
        <v>250</v>
      </c>
      <c r="G71" s="53"/>
      <c r="H71" s="51" t="s">
        <v>251</v>
      </c>
      <c r="I71" s="31"/>
      <c r="J71" s="226"/>
      <c r="K71" s="89"/>
      <c r="L71" s="216">
        <f aca="true" t="shared" si="23" ref="L71:L77">VLOOKUP($A71,Deprlot,3,FALSE)</f>
        <v>15</v>
      </c>
      <c r="M71" s="18" t="s">
        <v>9</v>
      </c>
      <c r="N71" s="217" t="str">
        <f aca="true" t="shared" si="24" ref="N71:N77">TRIM(VLOOKUP($A71,Deprlot,4,FALSE))</f>
        <v>SQ</v>
      </c>
      <c r="O71" s="214"/>
      <c r="P71" s="218">
        <f aca="true" t="shared" si="25" ref="P71:P77">VLOOKUP($A71,Deprlot,5,FALSE)</f>
        <v>0</v>
      </c>
      <c r="Q71" s="6"/>
      <c r="R71" s="92">
        <f aca="true" t="shared" si="26" ref="R71:R77">VLOOKUP($A71,Deprlot,6,FALSE)</f>
        <v>77036.81</v>
      </c>
      <c r="S71" s="245"/>
      <c r="T71" s="92">
        <f aca="true" t="shared" si="27" ref="T71:T77">VLOOKUP($A71,Deprlot,9,FALSE)</f>
        <v>5138</v>
      </c>
      <c r="U71" s="68"/>
      <c r="V71" s="71">
        <f t="shared" si="20"/>
        <v>6.67</v>
      </c>
      <c r="W71" s="70"/>
      <c r="X71" s="92">
        <f aca="true" t="shared" si="28" ref="X71:X77">VLOOKUP($A71,Deprlot,7,FALSE)</f>
        <v>33465</v>
      </c>
      <c r="AA71" s="92">
        <f>ROUND(_xlfn.SUMIFS(Controls!$G:$G,Controls!$A:$A,$A71),2)</f>
        <v>77036.81</v>
      </c>
      <c r="AB71" s="81">
        <f t="shared" si="21"/>
        <v>0</v>
      </c>
      <c r="AD71" s="71">
        <f aca="true" t="shared" si="29" ref="AD71:AD77">VLOOKUP($A71,Deprlot,10,FALSE)</f>
        <v>6.67</v>
      </c>
      <c r="AE71" s="81">
        <f t="shared" si="22"/>
        <v>0</v>
      </c>
    </row>
    <row r="72" spans="1:31" ht="12.75" customHeight="1">
      <c r="A72" s="95">
        <v>391.3</v>
      </c>
      <c r="C72" s="25">
        <v>1784</v>
      </c>
      <c r="E72" s="55"/>
      <c r="F72" s="53" t="s">
        <v>252</v>
      </c>
      <c r="G72" s="53"/>
      <c r="H72" s="51" t="s">
        <v>253</v>
      </c>
      <c r="I72" s="31"/>
      <c r="J72" s="226"/>
      <c r="K72" s="89"/>
      <c r="L72" s="216">
        <f t="shared" si="23"/>
        <v>5</v>
      </c>
      <c r="M72" s="18" t="s">
        <v>9</v>
      </c>
      <c r="N72" s="217" t="str">
        <f t="shared" si="24"/>
        <v>SQ</v>
      </c>
      <c r="O72" s="214"/>
      <c r="P72" s="218">
        <f t="shared" si="25"/>
        <v>0</v>
      </c>
      <c r="Q72" s="6"/>
      <c r="R72" s="92">
        <f t="shared" si="26"/>
        <v>1127560.69</v>
      </c>
      <c r="S72" s="245"/>
      <c r="T72" s="92">
        <f t="shared" si="27"/>
        <v>225512</v>
      </c>
      <c r="U72" s="68"/>
      <c r="V72" s="71">
        <f t="shared" si="20"/>
        <v>20</v>
      </c>
      <c r="W72" s="70"/>
      <c r="X72" s="92">
        <f t="shared" si="28"/>
        <v>496829</v>
      </c>
      <c r="AA72" s="92">
        <f>ROUND(_xlfn.SUMIFS(Controls!$G:$G,Controls!$A:$A,$A72),2)</f>
        <v>1127560.69</v>
      </c>
      <c r="AB72" s="81">
        <f t="shared" si="21"/>
        <v>0</v>
      </c>
      <c r="AD72" s="71">
        <f t="shared" si="29"/>
        <v>20</v>
      </c>
      <c r="AE72" s="81">
        <f t="shared" si="22"/>
        <v>0</v>
      </c>
    </row>
    <row r="73" spans="1:31" ht="14.25">
      <c r="A73" s="95">
        <v>391.4</v>
      </c>
      <c r="C73" s="35" t="s">
        <v>172</v>
      </c>
      <c r="E73" s="55"/>
      <c r="F73" s="53" t="s">
        <v>254</v>
      </c>
      <c r="G73" s="53"/>
      <c r="H73" s="131" t="s">
        <v>317</v>
      </c>
      <c r="I73" s="31"/>
      <c r="J73" s="226"/>
      <c r="K73" s="89"/>
      <c r="L73" s="216">
        <f t="shared" si="23"/>
        <v>10</v>
      </c>
      <c r="M73" s="18" t="s">
        <v>9</v>
      </c>
      <c r="N73" s="217" t="str">
        <f t="shared" si="24"/>
        <v>SQ</v>
      </c>
      <c r="O73" s="214"/>
      <c r="P73" s="218">
        <f t="shared" si="25"/>
        <v>0</v>
      </c>
      <c r="Q73" s="6"/>
      <c r="R73" s="92">
        <f t="shared" si="26"/>
        <v>5977486.48</v>
      </c>
      <c r="S73" s="245"/>
      <c r="T73" s="92">
        <f t="shared" si="27"/>
        <v>597749</v>
      </c>
      <c r="U73" s="68"/>
      <c r="V73" s="71">
        <f t="shared" si="20"/>
        <v>10</v>
      </c>
      <c r="W73" s="70"/>
      <c r="X73" s="92">
        <f t="shared" si="28"/>
        <v>2735085</v>
      </c>
      <c r="AA73" s="92">
        <f>ROUND(_xlfn.SUMIFS(Controls!$G:$G,Controls!$A:$A,$A73),2)</f>
        <v>5977486.48</v>
      </c>
      <c r="AB73" s="81">
        <f t="shared" si="21"/>
        <v>0</v>
      </c>
      <c r="AD73" s="71">
        <f t="shared" si="29"/>
        <v>10</v>
      </c>
      <c r="AE73" s="81">
        <f t="shared" si="22"/>
        <v>0</v>
      </c>
    </row>
    <row r="74" spans="1:31" ht="12.75" customHeight="1">
      <c r="A74" s="25">
        <v>392</v>
      </c>
      <c r="C74" s="25">
        <v>1781</v>
      </c>
      <c r="E74" s="55"/>
      <c r="F74" s="53" t="s">
        <v>25</v>
      </c>
      <c r="G74" s="53"/>
      <c r="H74" s="51" t="s">
        <v>255</v>
      </c>
      <c r="I74" s="31"/>
      <c r="J74" s="226"/>
      <c r="K74" s="89"/>
      <c r="L74" s="216">
        <f t="shared" si="23"/>
        <v>13</v>
      </c>
      <c r="M74" s="18" t="s">
        <v>9</v>
      </c>
      <c r="N74" s="217" t="str">
        <f t="shared" si="24"/>
        <v>S2</v>
      </c>
      <c r="O74" s="214"/>
      <c r="P74" s="218">
        <f t="shared" si="25"/>
        <v>10</v>
      </c>
      <c r="Q74" s="6"/>
      <c r="R74" s="92">
        <f t="shared" si="26"/>
        <v>11944126.05</v>
      </c>
      <c r="S74" s="245"/>
      <c r="T74" s="92">
        <f t="shared" si="27"/>
        <v>799747</v>
      </c>
      <c r="U74" s="68"/>
      <c r="V74" s="71">
        <f t="shared" si="20"/>
        <v>6.7</v>
      </c>
      <c r="W74" s="70"/>
      <c r="X74" s="92">
        <f t="shared" si="28"/>
        <v>5068505</v>
      </c>
      <c r="AA74" s="92">
        <f>ROUND(_xlfn.SUMIFS(Controls!$G:$G,Controls!$A:$A,$A74),2)</f>
        <v>11944126.05</v>
      </c>
      <c r="AB74" s="81">
        <f t="shared" si="21"/>
        <v>0</v>
      </c>
      <c r="AD74" s="71">
        <f t="shared" si="29"/>
        <v>6.7</v>
      </c>
      <c r="AE74" s="81">
        <f t="shared" si="22"/>
        <v>0</v>
      </c>
    </row>
    <row r="75" spans="1:31" ht="12.75" customHeight="1">
      <c r="A75" s="95">
        <v>394</v>
      </c>
      <c r="C75" s="87" t="s">
        <v>65</v>
      </c>
      <c r="D75" s="87"/>
      <c r="E75" s="55"/>
      <c r="F75" s="53" t="s">
        <v>26</v>
      </c>
      <c r="G75" s="53"/>
      <c r="H75" s="131" t="s">
        <v>320</v>
      </c>
      <c r="I75" s="31"/>
      <c r="J75" s="226"/>
      <c r="K75" s="89"/>
      <c r="L75" s="216">
        <f t="shared" si="23"/>
        <v>20</v>
      </c>
      <c r="M75" s="18" t="s">
        <v>9</v>
      </c>
      <c r="N75" s="217" t="str">
        <f t="shared" si="24"/>
        <v>SQ</v>
      </c>
      <c r="O75" s="214"/>
      <c r="P75" s="218">
        <f t="shared" si="25"/>
        <v>0</v>
      </c>
      <c r="Q75" s="6"/>
      <c r="R75" s="92">
        <f t="shared" si="26"/>
        <v>1115936.44</v>
      </c>
      <c r="S75" s="245"/>
      <c r="T75" s="92">
        <f t="shared" si="27"/>
        <v>55797</v>
      </c>
      <c r="U75" s="68"/>
      <c r="V75" s="71">
        <f t="shared" si="20"/>
        <v>5</v>
      </c>
      <c r="W75" s="70"/>
      <c r="X75" s="92">
        <f t="shared" si="28"/>
        <v>376109</v>
      </c>
      <c r="AA75" s="92">
        <f>ROUND(_xlfn.SUMIFS(Controls!$G:$G,Controls!$A:$A,$A75),2)</f>
        <v>1115936.44</v>
      </c>
      <c r="AB75" s="81">
        <f t="shared" si="21"/>
        <v>0</v>
      </c>
      <c r="AD75" s="71">
        <f t="shared" si="29"/>
        <v>5</v>
      </c>
      <c r="AE75" s="81">
        <f t="shared" si="22"/>
        <v>0</v>
      </c>
    </row>
    <row r="76" spans="1:31" ht="12.75" customHeight="1">
      <c r="A76" s="25">
        <v>397</v>
      </c>
      <c r="C76" s="25">
        <v>1760</v>
      </c>
      <c r="E76" s="55"/>
      <c r="F76" s="53" t="s">
        <v>27</v>
      </c>
      <c r="G76" s="53"/>
      <c r="H76" s="51" t="s">
        <v>257</v>
      </c>
      <c r="I76" s="31"/>
      <c r="J76" s="226"/>
      <c r="K76" s="89"/>
      <c r="L76" s="216">
        <f t="shared" si="23"/>
        <v>20</v>
      </c>
      <c r="M76" s="18" t="s">
        <v>9</v>
      </c>
      <c r="N76" s="217" t="str">
        <f t="shared" si="24"/>
        <v>S4</v>
      </c>
      <c r="O76" s="214"/>
      <c r="P76" s="218">
        <f t="shared" si="25"/>
        <v>-5</v>
      </c>
      <c r="Q76" s="6"/>
      <c r="R76" s="92">
        <f t="shared" si="26"/>
        <v>10214241.58</v>
      </c>
      <c r="S76" s="245"/>
      <c r="T76" s="92">
        <f t="shared" si="27"/>
        <v>489939</v>
      </c>
      <c r="U76" s="68"/>
      <c r="V76" s="71">
        <f t="shared" si="20"/>
        <v>4.8</v>
      </c>
      <c r="W76" s="70"/>
      <c r="X76" s="92">
        <f t="shared" si="28"/>
        <v>5919193</v>
      </c>
      <c r="AA76" s="92">
        <f>ROUND(_xlfn.SUMIFS(Controls!$G:$G,Controls!$A:$A,$A76),2)</f>
        <v>10214241.58</v>
      </c>
      <c r="AB76" s="81">
        <f t="shared" si="21"/>
        <v>0</v>
      </c>
      <c r="AD76" s="71">
        <f t="shared" si="29"/>
        <v>4.8</v>
      </c>
      <c r="AE76" s="81">
        <f t="shared" si="22"/>
        <v>0</v>
      </c>
    </row>
    <row r="77" spans="1:31" ht="12.75" customHeight="1">
      <c r="A77" s="25">
        <v>397.5</v>
      </c>
      <c r="C77" s="25">
        <v>1763</v>
      </c>
      <c r="E77" s="55"/>
      <c r="F77" s="53" t="s">
        <v>258</v>
      </c>
      <c r="G77" s="53"/>
      <c r="H77" s="51" t="s">
        <v>259</v>
      </c>
      <c r="I77" s="31"/>
      <c r="J77" s="226"/>
      <c r="K77" s="89"/>
      <c r="L77" s="216">
        <f t="shared" si="23"/>
        <v>15</v>
      </c>
      <c r="M77" s="18" t="s">
        <v>9</v>
      </c>
      <c r="N77" s="217" t="str">
        <f t="shared" si="24"/>
        <v>S2</v>
      </c>
      <c r="O77" s="214"/>
      <c r="P77" s="218">
        <f t="shared" si="25"/>
        <v>0</v>
      </c>
      <c r="Q77" s="6"/>
      <c r="R77" s="179">
        <f t="shared" si="26"/>
        <v>1815240.61</v>
      </c>
      <c r="S77" s="245"/>
      <c r="T77" s="179">
        <f t="shared" si="27"/>
        <v>106400</v>
      </c>
      <c r="U77" s="68"/>
      <c r="V77" s="71">
        <f t="shared" si="20"/>
        <v>5.86</v>
      </c>
      <c r="W77" s="70"/>
      <c r="X77" s="179">
        <f t="shared" si="28"/>
        <v>1152993</v>
      </c>
      <c r="AA77" s="92">
        <f>ROUND(_xlfn.SUMIFS(Controls!$G:$G,Controls!$A:$A,$A77),2)</f>
        <v>1815240.61</v>
      </c>
      <c r="AB77" s="81">
        <f t="shared" si="21"/>
        <v>0</v>
      </c>
      <c r="AD77" s="71">
        <f t="shared" si="29"/>
        <v>5.86</v>
      </c>
      <c r="AE77" s="81">
        <f t="shared" si="22"/>
        <v>0</v>
      </c>
    </row>
    <row r="78" spans="5:24" ht="12.75" customHeight="1">
      <c r="E78" s="55" t="s">
        <v>260</v>
      </c>
      <c r="F78" s="54"/>
      <c r="G78" s="54"/>
      <c r="H78" s="55"/>
      <c r="I78" s="55"/>
      <c r="J78" s="227"/>
      <c r="K78" s="228"/>
      <c r="L78" s="228"/>
      <c r="M78" s="228"/>
      <c r="N78" s="228"/>
      <c r="O78" s="228"/>
      <c r="P78" s="229"/>
      <c r="Q78" s="55"/>
      <c r="R78" s="183">
        <f>SUBTOTAL(9,R68:R77)</f>
        <v>44514725.77</v>
      </c>
      <c r="S78" s="183"/>
      <c r="T78" s="183">
        <f>SUBTOTAL(9,T68:T77)</f>
        <v>2586360</v>
      </c>
      <c r="U78" s="55"/>
      <c r="V78" s="69">
        <f>ROUND(T78/R78*100,2)</f>
        <v>5.81</v>
      </c>
      <c r="W78" s="55"/>
      <c r="X78" s="183">
        <f>SUBTOTAL(9,X68:X77)</f>
        <v>20389308</v>
      </c>
    </row>
    <row r="79" spans="5:24" ht="12.75" customHeight="1">
      <c r="E79" s="55"/>
      <c r="F79" s="54"/>
      <c r="G79" s="54"/>
      <c r="H79" s="55"/>
      <c r="I79" s="55"/>
      <c r="J79" s="227"/>
      <c r="K79" s="228"/>
      <c r="L79" s="228"/>
      <c r="M79" s="228"/>
      <c r="N79" s="228"/>
      <c r="O79" s="228"/>
      <c r="P79" s="229"/>
      <c r="Q79" s="55"/>
      <c r="R79" s="211"/>
      <c r="S79" s="183"/>
      <c r="T79" s="211"/>
      <c r="U79" s="55"/>
      <c r="V79" s="69"/>
      <c r="W79" s="55"/>
      <c r="X79" s="211"/>
    </row>
    <row r="80" spans="5:31" ht="12.75" customHeight="1" thickBot="1">
      <c r="E80" s="28" t="s">
        <v>11</v>
      </c>
      <c r="F80" s="54"/>
      <c r="G80" s="54"/>
      <c r="H80" s="55"/>
      <c r="I80" s="55"/>
      <c r="J80" s="227"/>
      <c r="K80" s="228"/>
      <c r="L80" s="228"/>
      <c r="M80" s="228"/>
      <c r="N80" s="228"/>
      <c r="O80" s="228"/>
      <c r="P80" s="229"/>
      <c r="Q80" s="55"/>
      <c r="R80" s="121">
        <f>SUBTOTAL(9,R13:R79)</f>
        <v>627104044.0000001</v>
      </c>
      <c r="S80" s="183"/>
      <c r="T80" s="121">
        <f>SUBTOTAL(9,T13:T79)</f>
        <v>22002550</v>
      </c>
      <c r="U80" s="55"/>
      <c r="V80" s="69">
        <f>ROUND(T80/R80*100,2)</f>
        <v>3.51</v>
      </c>
      <c r="W80" s="55"/>
      <c r="X80" s="121">
        <f>SUBTOTAL(9,X13:X79)</f>
        <v>270559786</v>
      </c>
      <c r="AA80" s="121">
        <f>SUBTOTAL(9,AA13:AA79)</f>
        <v>627104043.9800001</v>
      </c>
      <c r="AB80" s="121">
        <f>SUBTOTAL(9,AB13:AB79)</f>
        <v>0.020000003278255463</v>
      </c>
      <c r="AE80" s="121">
        <f>SUBTOTAL(9,AE13:AE79)</f>
        <v>0</v>
      </c>
    </row>
    <row r="81" spans="10:22" ht="12.75" customHeight="1" thickTop="1">
      <c r="J81" s="231"/>
      <c r="K81" s="232"/>
      <c r="L81" s="232"/>
      <c r="M81" s="232"/>
      <c r="N81" s="232"/>
      <c r="O81" s="232"/>
      <c r="P81" s="233"/>
      <c r="R81" s="186"/>
      <c r="S81" s="186"/>
      <c r="T81" s="186"/>
      <c r="V81" s="69"/>
    </row>
    <row r="82" spans="10:22" ht="12.75" customHeight="1">
      <c r="J82" s="231"/>
      <c r="K82" s="232"/>
      <c r="L82" s="232"/>
      <c r="M82" s="232"/>
      <c r="N82" s="232"/>
      <c r="O82" s="232"/>
      <c r="P82" s="233"/>
      <c r="R82" s="186"/>
      <c r="S82" s="186"/>
      <c r="T82" s="186"/>
      <c r="V82" s="69"/>
    </row>
    <row r="83" spans="5:20" ht="12.75" customHeight="1">
      <c r="E83" s="28" t="s">
        <v>261</v>
      </c>
      <c r="J83" s="231"/>
      <c r="K83" s="232"/>
      <c r="L83" s="232"/>
      <c r="M83" s="232"/>
      <c r="N83" s="232"/>
      <c r="O83" s="232"/>
      <c r="P83" s="233"/>
      <c r="R83" s="186"/>
      <c r="S83" s="186"/>
      <c r="T83" s="186"/>
    </row>
    <row r="84" spans="1:28" ht="12.75" customHeight="1">
      <c r="A84" s="25">
        <v>310</v>
      </c>
      <c r="C84" s="25">
        <v>1101</v>
      </c>
      <c r="F84" s="26" t="s">
        <v>262</v>
      </c>
      <c r="H84" s="25" t="s">
        <v>263</v>
      </c>
      <c r="J84" s="231"/>
      <c r="K84" s="232"/>
      <c r="L84" s="232"/>
      <c r="M84" s="232"/>
      <c r="N84" s="232"/>
      <c r="O84" s="232"/>
      <c r="P84" s="233"/>
      <c r="R84" s="186">
        <f>VLOOKUP($A84,Deprlot,6,FALSE)</f>
        <v>2261809.69</v>
      </c>
      <c r="S84" s="186"/>
      <c r="T84" s="186"/>
      <c r="AA84" s="92">
        <f>ROUND(_xlfn.SUMIFS(Controls!$G:$G,Controls!$A:$A,$A84),2)</f>
        <v>2261809.69</v>
      </c>
      <c r="AB84" s="81">
        <f>R84-AA84</f>
        <v>0</v>
      </c>
    </row>
    <row r="85" spans="1:28" ht="12.75" customHeight="1">
      <c r="A85" s="25">
        <v>340</v>
      </c>
      <c r="C85" s="25">
        <v>1201</v>
      </c>
      <c r="F85" s="26" t="s">
        <v>264</v>
      </c>
      <c r="H85" s="25" t="s">
        <v>263</v>
      </c>
      <c r="J85" s="231"/>
      <c r="K85" s="232"/>
      <c r="L85" s="232"/>
      <c r="M85" s="232"/>
      <c r="N85" s="232"/>
      <c r="O85" s="232"/>
      <c r="P85" s="233"/>
      <c r="R85" s="186">
        <f>VLOOKUP($A85,Deprlot,6,FALSE)</f>
        <v>43567.22</v>
      </c>
      <c r="S85" s="186"/>
      <c r="T85" s="186"/>
      <c r="AA85" s="92">
        <f>ROUND(_xlfn.SUMIFS(Controls!$G:$G,Controls!$A:$A,$A85),2)</f>
        <v>43567.22</v>
      </c>
      <c r="AB85" s="81">
        <f>R85-AA85</f>
        <v>0</v>
      </c>
    </row>
    <row r="86" spans="1:28" ht="12.75" customHeight="1">
      <c r="A86" s="25">
        <v>350</v>
      </c>
      <c r="C86" s="25">
        <v>1844</v>
      </c>
      <c r="F86" s="26" t="s">
        <v>265</v>
      </c>
      <c r="H86" s="25" t="s">
        <v>263</v>
      </c>
      <c r="J86" s="231"/>
      <c r="K86" s="232"/>
      <c r="L86" s="232"/>
      <c r="M86" s="232"/>
      <c r="N86" s="232"/>
      <c r="O86" s="232"/>
      <c r="P86" s="233"/>
      <c r="R86" s="186">
        <f>VLOOKUP($A86,Deprlot,6,FALSE)</f>
        <v>1101484.46</v>
      </c>
      <c r="S86" s="186"/>
      <c r="T86" s="186"/>
      <c r="AA86" s="92">
        <f>ROUND(_xlfn.SUMIFS(Controls!$G:$G,Controls!$A:$A,$A86),2)</f>
        <v>1101484.46</v>
      </c>
      <c r="AB86" s="81">
        <f>R86-AA86</f>
        <v>0</v>
      </c>
    </row>
    <row r="87" spans="1:28" ht="12.75" customHeight="1">
      <c r="A87" s="25">
        <v>360</v>
      </c>
      <c r="C87" s="25">
        <v>1744</v>
      </c>
      <c r="F87" s="26" t="s">
        <v>266</v>
      </c>
      <c r="H87" s="25" t="s">
        <v>263</v>
      </c>
      <c r="J87" s="231"/>
      <c r="K87" s="232"/>
      <c r="L87" s="232"/>
      <c r="M87" s="232"/>
      <c r="N87" s="232"/>
      <c r="O87" s="232"/>
      <c r="P87" s="233"/>
      <c r="R87" s="186">
        <f>VLOOKUP($A87,Deprlot,6,FALSE)</f>
        <v>9972.95</v>
      </c>
      <c r="S87" s="186"/>
      <c r="T87" s="186"/>
      <c r="AA87" s="92">
        <f>ROUND(_xlfn.SUMIFS(Controls!$G:$G,Controls!$A:$A,$A87),2)</f>
        <v>9972.95</v>
      </c>
      <c r="AB87" s="81">
        <f>R87-AA87</f>
        <v>0</v>
      </c>
    </row>
    <row r="88" spans="1:28" ht="12.75" customHeight="1">
      <c r="A88" s="25">
        <v>389</v>
      </c>
      <c r="C88" s="87" t="s">
        <v>66</v>
      </c>
      <c r="F88" s="26" t="s">
        <v>267</v>
      </c>
      <c r="H88" s="25" t="s">
        <v>263</v>
      </c>
      <c r="J88" s="231"/>
      <c r="K88" s="232"/>
      <c r="L88" s="232"/>
      <c r="M88" s="232"/>
      <c r="N88" s="232"/>
      <c r="O88" s="232"/>
      <c r="P88" s="233"/>
      <c r="R88" s="184">
        <f>VLOOKUP($A88,Deprlot,6,FALSE)</f>
        <v>350201</v>
      </c>
      <c r="S88" s="186"/>
      <c r="T88" s="186"/>
      <c r="AA88" s="92">
        <f>ROUND(_xlfn.SUMIFS(Controls!$G:$G,Controls!$A:$A,$A88),2)</f>
        <v>350201</v>
      </c>
      <c r="AB88" s="81">
        <f>R88-AA88</f>
        <v>0</v>
      </c>
    </row>
    <row r="89" spans="5:22" ht="12.75" customHeight="1">
      <c r="E89" s="28" t="s">
        <v>268</v>
      </c>
      <c r="J89" s="231"/>
      <c r="K89" s="232"/>
      <c r="L89" s="232"/>
      <c r="M89" s="232"/>
      <c r="N89" s="232"/>
      <c r="O89" s="232"/>
      <c r="P89" s="234"/>
      <c r="R89" s="185">
        <f>SUBTOTAL(9,R84:R88)</f>
        <v>3767035.3200000003</v>
      </c>
      <c r="S89" s="186"/>
      <c r="T89" s="186"/>
      <c r="V89" s="69"/>
    </row>
    <row r="90" spans="10:20" ht="12.75" customHeight="1">
      <c r="J90" s="231"/>
      <c r="K90" s="232"/>
      <c r="L90" s="232"/>
      <c r="M90" s="232"/>
      <c r="N90" s="232"/>
      <c r="O90" s="232"/>
      <c r="P90" s="234"/>
      <c r="R90" s="186"/>
      <c r="S90" s="186"/>
      <c r="T90" s="186"/>
    </row>
    <row r="91" spans="5:28" ht="12.75" customHeight="1" thickBot="1">
      <c r="E91" s="28" t="s">
        <v>269</v>
      </c>
      <c r="J91" s="231"/>
      <c r="K91" s="232"/>
      <c r="L91" s="232"/>
      <c r="M91" s="232"/>
      <c r="N91" s="232"/>
      <c r="O91" s="232"/>
      <c r="P91" s="234"/>
      <c r="R91" s="121">
        <f>SUBTOTAL(9,R13:R89)</f>
        <v>630871079.3200003</v>
      </c>
      <c r="S91" s="186"/>
      <c r="T91" s="186"/>
      <c r="V91" s="69"/>
      <c r="AA91" s="121">
        <f>SUBTOTAL(9,AA13:AA89)</f>
        <v>630871079.3000003</v>
      </c>
      <c r="AB91" s="235">
        <f>SUBTOTAL(9,AB13:AB89)</f>
        <v>0.020000003278255463</v>
      </c>
    </row>
    <row r="92" spans="10:16" ht="12.75" customHeight="1" thickTop="1">
      <c r="J92" s="231"/>
      <c r="K92" s="232"/>
      <c r="L92" s="232"/>
      <c r="M92" s="232"/>
      <c r="N92" s="232"/>
      <c r="O92" s="232"/>
      <c r="P92" s="234"/>
    </row>
    <row r="93" spans="5:16" ht="12.75" customHeight="1">
      <c r="E93" s="125" t="s">
        <v>318</v>
      </c>
      <c r="F93" s="126"/>
      <c r="G93" s="126"/>
      <c r="H93" s="127"/>
      <c r="J93" s="231"/>
      <c r="K93" s="232"/>
      <c r="L93" s="232"/>
      <c r="M93" s="232"/>
      <c r="N93" s="232"/>
      <c r="O93" s="232"/>
      <c r="P93" s="234"/>
    </row>
    <row r="94" spans="5:16" ht="12.75" customHeight="1">
      <c r="E94" s="124"/>
      <c r="J94" s="231"/>
      <c r="K94" s="232"/>
      <c r="L94" s="232"/>
      <c r="M94" s="232"/>
      <c r="N94" s="232"/>
      <c r="O94" s="232"/>
      <c r="P94" s="234"/>
    </row>
    <row r="95" spans="5:16" ht="12.75" customHeight="1">
      <c r="E95" s="124"/>
      <c r="J95" s="231"/>
      <c r="K95" s="232"/>
      <c r="L95" s="232"/>
      <c r="M95" s="232"/>
      <c r="N95" s="232"/>
      <c r="O95" s="232"/>
      <c r="P95" s="234"/>
    </row>
    <row r="96" ht="12.75" customHeight="1">
      <c r="J96" s="59"/>
    </row>
    <row r="97" ht="12.75" customHeight="1">
      <c r="J97" s="59"/>
    </row>
    <row r="98" ht="12.75" customHeight="1" hidden="1" outlineLevel="1">
      <c r="J98" s="59"/>
    </row>
    <row r="99" spans="10:18" ht="12.75" customHeight="1" hidden="1" outlineLevel="1">
      <c r="J99" s="25" t="s">
        <v>323</v>
      </c>
      <c r="Q99" s="35"/>
      <c r="R99" s="154">
        <v>623354315.85</v>
      </c>
    </row>
    <row r="100" spans="10:18" ht="12.75" customHeight="1" hidden="1" outlineLevel="1">
      <c r="J100" s="124" t="s">
        <v>293</v>
      </c>
      <c r="Q100" s="35"/>
      <c r="R100" s="154">
        <v>4744984.859999999</v>
      </c>
    </row>
    <row r="101" spans="10:18" ht="12.75" customHeight="1" hidden="1" outlineLevel="1">
      <c r="J101" s="124" t="s">
        <v>292</v>
      </c>
      <c r="Q101" s="35"/>
      <c r="R101" s="155">
        <v>2771778.5799999996</v>
      </c>
    </row>
    <row r="102" spans="10:24" ht="12.75" customHeight="1" hidden="1" outlineLevel="1">
      <c r="J102" s="124" t="s">
        <v>171</v>
      </c>
      <c r="Q102" s="35"/>
      <c r="R102" s="154">
        <f>SUM(R99:R101)</f>
        <v>630871079.2900001</v>
      </c>
      <c r="T102" s="23">
        <f>DeprLot!I50</f>
        <v>22002550</v>
      </c>
      <c r="X102" s="23">
        <f>DeprLot!G50</f>
        <v>270559786</v>
      </c>
    </row>
    <row r="103" spans="10:18" ht="12.75" customHeight="1" hidden="1" outlineLevel="1">
      <c r="J103" s="124"/>
      <c r="Q103" s="35"/>
      <c r="R103" s="123"/>
    </row>
    <row r="104" spans="10:24" ht="12.75" customHeight="1" hidden="1" outlineLevel="1">
      <c r="J104" s="25" t="s">
        <v>167</v>
      </c>
      <c r="R104" s="119">
        <f>R102-R91</f>
        <v>-0.03000020980834961</v>
      </c>
      <c r="T104" s="23">
        <f>T102-T80</f>
        <v>0</v>
      </c>
      <c r="X104" s="23">
        <f>X102-X80</f>
        <v>0</v>
      </c>
    </row>
    <row r="105" spans="16:18" ht="12.75" customHeight="1" hidden="1" outlineLevel="1">
      <c r="P105" s="25"/>
      <c r="R105" s="25"/>
    </row>
    <row r="106" ht="12.75" customHeight="1" collapsed="1"/>
  </sheetData>
  <sheetProtection/>
  <printOptions horizontalCentered="1"/>
  <pageMargins left="0.75" right="0.75" top="1" bottom="1" header="0.5" footer="0.5"/>
  <pageSetup fitToHeight="0" horizontalDpi="600" verticalDpi="600" orientation="landscape" scale="70" r:id="rId1"/>
  <headerFooter alignWithMargins="0">
    <oddHeader>&amp;R
</oddHeader>
  </headerFooter>
  <rowBreaks count="1" manualBreakCount="1">
    <brk id="53" min="4" max="23" man="1"/>
  </rowBreaks>
  <ignoredErrors>
    <ignoredError sqref="F24:F88 F16:F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zoomScale="120" zoomScaleNormal="120" zoomScalePageLayoutView="0" workbookViewId="0" topLeftCell="B1">
      <selection activeCell="AF35" sqref="AF35"/>
    </sheetView>
  </sheetViews>
  <sheetFormatPr defaultColWidth="9.140625" defaultRowHeight="12.75"/>
  <cols>
    <col min="1" max="1" width="5.140625" style="117" hidden="1" customWidth="1"/>
    <col min="2" max="2" width="1.1484375" style="117" customWidth="1"/>
    <col min="3" max="3" width="66.57421875" style="117" bestFit="1" customWidth="1"/>
    <col min="4" max="4" width="13.57421875" style="117" customWidth="1"/>
    <col min="5" max="5" width="20.00390625" style="117" bestFit="1" customWidth="1"/>
    <col min="6" max="6" width="15.00390625" style="117" bestFit="1" customWidth="1"/>
    <col min="7" max="7" width="21.140625" style="117" bestFit="1" customWidth="1"/>
    <col min="8" max="8" width="11.8515625" style="117" bestFit="1" customWidth="1"/>
    <col min="9" max="12" width="11.28125" style="117" bestFit="1" customWidth="1"/>
    <col min="13" max="13" width="12.28125" style="117" bestFit="1" customWidth="1"/>
    <col min="14" max="14" width="9.140625" style="117" customWidth="1"/>
    <col min="15" max="15" width="15.57421875" style="117" bestFit="1" customWidth="1"/>
    <col min="16" max="16384" width="9.140625" style="117" customWidth="1"/>
  </cols>
  <sheetData>
    <row r="2" spans="3:13" ht="12.75">
      <c r="C2" s="392" t="s">
        <v>468</v>
      </c>
      <c r="D2" s="391"/>
      <c r="E2" s="391"/>
      <c r="F2" s="391"/>
      <c r="G2" s="391"/>
      <c r="H2" s="391"/>
      <c r="I2" s="391"/>
      <c r="J2" s="391"/>
      <c r="K2" s="391"/>
      <c r="L2" s="391"/>
      <c r="M2" s="393"/>
    </row>
    <row r="3" spans="3:13" ht="12.75">
      <c r="C3" s="394" t="s">
        <v>438</v>
      </c>
      <c r="D3" s="395"/>
      <c r="E3" s="395"/>
      <c r="F3" s="395"/>
      <c r="G3" s="395"/>
      <c r="H3" s="395"/>
      <c r="I3" s="395"/>
      <c r="J3" s="395"/>
      <c r="K3" s="395"/>
      <c r="L3" s="395"/>
      <c r="M3" s="396"/>
    </row>
    <row r="4" spans="3:13" ht="12.75">
      <c r="C4" s="394" t="s">
        <v>439</v>
      </c>
      <c r="D4" s="395"/>
      <c r="E4" s="395"/>
      <c r="F4" s="395"/>
      <c r="G4" s="395"/>
      <c r="H4" s="395"/>
      <c r="I4" s="395"/>
      <c r="J4" s="395"/>
      <c r="K4" s="395"/>
      <c r="L4" s="395"/>
      <c r="M4" s="396"/>
    </row>
    <row r="5" spans="3:13" ht="12.75">
      <c r="C5" s="262"/>
      <c r="D5" s="266"/>
      <c r="E5" s="395"/>
      <c r="F5" s="395"/>
      <c r="G5" s="395"/>
      <c r="H5" s="395"/>
      <c r="I5" s="266"/>
      <c r="J5" s="266"/>
      <c r="K5" s="277"/>
      <c r="L5" s="266"/>
      <c r="M5" s="326"/>
    </row>
    <row r="6" spans="3:13" ht="12.75">
      <c r="C6" s="300"/>
      <c r="D6" s="280" t="s">
        <v>400</v>
      </c>
      <c r="E6" s="278" t="s">
        <v>412</v>
      </c>
      <c r="F6" s="289" t="s">
        <v>415</v>
      </c>
      <c r="G6" s="389" t="s">
        <v>423</v>
      </c>
      <c r="H6" s="397" t="s">
        <v>426</v>
      </c>
      <c r="I6" s="398"/>
      <c r="J6" s="398"/>
      <c r="K6" s="398"/>
      <c r="L6" s="399"/>
      <c r="M6" s="282"/>
    </row>
    <row r="7" spans="3:13" ht="12.75">
      <c r="C7" s="321" t="s">
        <v>425</v>
      </c>
      <c r="D7" s="301" t="s">
        <v>401</v>
      </c>
      <c r="E7" s="306" t="s">
        <v>398</v>
      </c>
      <c r="F7" s="302" t="s">
        <v>416</v>
      </c>
      <c r="G7" s="302" t="s">
        <v>424</v>
      </c>
      <c r="H7" s="302">
        <v>2019</v>
      </c>
      <c r="I7" s="303">
        <v>2020</v>
      </c>
      <c r="J7" s="304">
        <v>2021</v>
      </c>
      <c r="K7" s="302">
        <v>2022</v>
      </c>
      <c r="L7" s="302">
        <v>2023</v>
      </c>
      <c r="M7" s="302" t="s">
        <v>389</v>
      </c>
    </row>
    <row r="8" spans="3:13" ht="12.75" hidden="1">
      <c r="C8" s="284"/>
      <c r="D8" s="292" t="s">
        <v>395</v>
      </c>
      <c r="E8" s="293" t="s">
        <v>402</v>
      </c>
      <c r="F8" s="292" t="s">
        <v>403</v>
      </c>
      <c r="G8" s="292"/>
      <c r="H8" s="292" t="s">
        <v>404</v>
      </c>
      <c r="I8" s="293" t="s">
        <v>409</v>
      </c>
      <c r="J8" s="292" t="s">
        <v>410</v>
      </c>
      <c r="K8" s="292" t="s">
        <v>417</v>
      </c>
      <c r="L8" s="292" t="s">
        <v>418</v>
      </c>
      <c r="M8" s="282"/>
    </row>
    <row r="9" spans="3:13" ht="12.75">
      <c r="C9" s="312"/>
      <c r="D9" s="282"/>
      <c r="E9" s="300"/>
      <c r="F9" s="282"/>
      <c r="G9" s="282"/>
      <c r="H9" s="282"/>
      <c r="I9" s="266"/>
      <c r="J9" s="282"/>
      <c r="K9" s="282"/>
      <c r="L9" s="282"/>
      <c r="M9" s="282"/>
    </row>
    <row r="10" spans="1:13" ht="12.75">
      <c r="A10" s="5" t="str">
        <f>+Table1!F16</f>
        <v>311</v>
      </c>
      <c r="B10" s="5"/>
      <c r="C10" s="275" t="s">
        <v>33</v>
      </c>
      <c r="D10" s="283">
        <f>+Table1!R16</f>
        <v>9006038.08</v>
      </c>
      <c r="E10" s="287">
        <f>+Table1!T16</f>
        <v>547357</v>
      </c>
      <c r="F10" s="296">
        <f>3.96-1</f>
        <v>2.96</v>
      </c>
      <c r="G10" s="296">
        <v>6.08</v>
      </c>
      <c r="H10" s="291">
        <f>+E10</f>
        <v>547357</v>
      </c>
      <c r="I10" s="276">
        <f>+E10</f>
        <v>547357</v>
      </c>
      <c r="J10" s="287">
        <f>+E10*0.96</f>
        <v>525462.72</v>
      </c>
      <c r="K10" s="291">
        <v>0</v>
      </c>
      <c r="L10" s="291">
        <v>0</v>
      </c>
      <c r="M10" s="282"/>
    </row>
    <row r="11" spans="1:13" ht="12.75">
      <c r="A11" s="5" t="str">
        <f>+Table1!F17</f>
        <v>312</v>
      </c>
      <c r="B11" s="5"/>
      <c r="C11" s="275" t="s">
        <v>29</v>
      </c>
      <c r="D11" s="283">
        <f>+Table1!R17</f>
        <v>26445979.81</v>
      </c>
      <c r="E11" s="287">
        <f>+Table1!T17</f>
        <v>1285317</v>
      </c>
      <c r="F11" s="296">
        <f>3.96-1</f>
        <v>2.96</v>
      </c>
      <c r="G11" s="319">
        <v>4.86</v>
      </c>
      <c r="H11" s="291">
        <f>+E11</f>
        <v>1285317</v>
      </c>
      <c r="I11" s="276">
        <f>+E11</f>
        <v>1285317</v>
      </c>
      <c r="J11" s="287">
        <f>+E11*0.96</f>
        <v>1233904.32</v>
      </c>
      <c r="K11" s="291">
        <v>0</v>
      </c>
      <c r="L11" s="291">
        <v>0</v>
      </c>
      <c r="M11" s="282"/>
    </row>
    <row r="12" spans="1:13" ht="12.75">
      <c r="A12" s="5" t="str">
        <f>+Table1!F18</f>
        <v>314</v>
      </c>
      <c r="B12" s="5"/>
      <c r="C12" s="275" t="s">
        <v>30</v>
      </c>
      <c r="D12" s="283"/>
      <c r="E12" s="287"/>
      <c r="F12" s="296"/>
      <c r="G12" s="319"/>
      <c r="H12" s="291"/>
      <c r="I12" s="276"/>
      <c r="J12" s="287"/>
      <c r="K12" s="291"/>
      <c r="L12" s="291"/>
      <c r="M12" s="282"/>
    </row>
    <row r="13" spans="1:13" ht="12.75">
      <c r="A13" s="5"/>
      <c r="B13" s="5"/>
      <c r="C13" s="275" t="s">
        <v>419</v>
      </c>
      <c r="D13" s="283">
        <f>+Table1!R19</f>
        <v>1954690.95</v>
      </c>
      <c r="E13" s="287">
        <f>+Table1!T19</f>
        <v>113005</v>
      </c>
      <c r="F13" s="296">
        <f>1.99-1</f>
        <v>0.99</v>
      </c>
      <c r="G13" s="319">
        <v>5.78</v>
      </c>
      <c r="H13" s="291">
        <f>+E13*0.99</f>
        <v>111874.95</v>
      </c>
      <c r="I13" s="276">
        <v>0</v>
      </c>
      <c r="J13" s="287">
        <v>0</v>
      </c>
      <c r="K13" s="291">
        <v>0</v>
      </c>
      <c r="L13" s="291">
        <v>0</v>
      </c>
      <c r="M13" s="282"/>
    </row>
    <row r="14" spans="1:13" ht="12.75">
      <c r="A14" s="5"/>
      <c r="B14" s="5"/>
      <c r="C14" s="275" t="s">
        <v>420</v>
      </c>
      <c r="D14" s="283">
        <f>+Table1!R20</f>
        <v>3909381.9</v>
      </c>
      <c r="E14" s="287">
        <f>+Table1!T20</f>
        <v>209582</v>
      </c>
      <c r="F14" s="296">
        <f>2.95-1</f>
        <v>1.9500000000000002</v>
      </c>
      <c r="G14" s="319">
        <v>5.36</v>
      </c>
      <c r="H14" s="291">
        <f>+E14</f>
        <v>209582</v>
      </c>
      <c r="I14" s="276">
        <f>+E14*0.95</f>
        <v>199102.9</v>
      </c>
      <c r="J14" s="287">
        <v>0</v>
      </c>
      <c r="K14" s="291">
        <v>0</v>
      </c>
      <c r="L14" s="291">
        <v>0</v>
      </c>
      <c r="M14" s="282"/>
    </row>
    <row r="15" spans="1:13" ht="12.75">
      <c r="A15" s="5"/>
      <c r="B15" s="5"/>
      <c r="C15" s="275" t="s">
        <v>421</v>
      </c>
      <c r="D15" s="294">
        <f>+Table1!R21</f>
        <v>15637527.64</v>
      </c>
      <c r="E15" s="288">
        <f>+Table1!T21</f>
        <v>796856</v>
      </c>
      <c r="F15" s="297">
        <f>3.97-1</f>
        <v>2.97</v>
      </c>
      <c r="G15" s="320">
        <v>5.1</v>
      </c>
      <c r="H15" s="295">
        <f>+E15</f>
        <v>796856</v>
      </c>
      <c r="I15" s="268">
        <f>+E15</f>
        <v>796856</v>
      </c>
      <c r="J15" s="288">
        <f>+E15*0.97</f>
        <v>772950.32</v>
      </c>
      <c r="K15" s="291">
        <v>0</v>
      </c>
      <c r="L15" s="291">
        <v>0</v>
      </c>
      <c r="M15" s="282"/>
    </row>
    <row r="16" spans="1:13" ht="12.75">
      <c r="A16" s="5"/>
      <c r="B16" s="5"/>
      <c r="C16" s="275" t="s">
        <v>435</v>
      </c>
      <c r="D16" s="283">
        <f>+Table1!R22</f>
        <v>21501600.490000002</v>
      </c>
      <c r="E16" s="287">
        <f>SUM(E13:E15)</f>
        <v>1119443</v>
      </c>
      <c r="F16" s="296"/>
      <c r="G16" s="319"/>
      <c r="H16" s="291">
        <f>SUM(H13:H15)</f>
        <v>1118312.95</v>
      </c>
      <c r="I16" s="276">
        <f>SUM(I13:I15)</f>
        <v>995958.9</v>
      </c>
      <c r="J16" s="299">
        <f>SUM(J13:J15)</f>
        <v>772950.32</v>
      </c>
      <c r="K16" s="313">
        <f>SUM(K13:K15)</f>
        <v>0</v>
      </c>
      <c r="L16" s="291">
        <f>SUM(L13:L15)</f>
        <v>0</v>
      </c>
      <c r="M16" s="282"/>
    </row>
    <row r="17" spans="1:13" ht="6" customHeight="1">
      <c r="A17" s="5"/>
      <c r="B17" s="5"/>
      <c r="C17" s="275"/>
      <c r="D17" s="283"/>
      <c r="E17" s="287"/>
      <c r="F17" s="296"/>
      <c r="G17" s="319"/>
      <c r="H17" s="291"/>
      <c r="I17" s="276"/>
      <c r="J17" s="287"/>
      <c r="K17" s="291"/>
      <c r="L17" s="291"/>
      <c r="M17" s="282"/>
    </row>
    <row r="18" spans="1:13" ht="12.75">
      <c r="A18" s="5" t="str">
        <f>+Table1!F24</f>
        <v>315</v>
      </c>
      <c r="B18" s="5"/>
      <c r="C18" s="275" t="s">
        <v>31</v>
      </c>
      <c r="D18" s="283">
        <f>+Table1!R24</f>
        <v>2283113.25</v>
      </c>
      <c r="E18" s="287">
        <f>+Table1!T24</f>
        <v>68942</v>
      </c>
      <c r="F18" s="296">
        <f>3.95-1</f>
        <v>2.95</v>
      </c>
      <c r="G18" s="319">
        <v>3.02</v>
      </c>
      <c r="H18" s="291">
        <f>+E18</f>
        <v>68942</v>
      </c>
      <c r="I18" s="276">
        <f>+E18</f>
        <v>68942</v>
      </c>
      <c r="J18" s="287">
        <f>+E18*0.95</f>
        <v>65494.899999999994</v>
      </c>
      <c r="K18" s="291">
        <v>0</v>
      </c>
      <c r="L18" s="291">
        <v>0</v>
      </c>
      <c r="M18" s="282"/>
    </row>
    <row r="19" spans="1:13" ht="12.75">
      <c r="A19" s="5" t="str">
        <f>+Table1!F25</f>
        <v>316</v>
      </c>
      <c r="B19" s="5"/>
      <c r="C19" s="275" t="s">
        <v>142</v>
      </c>
      <c r="D19" s="294">
        <f>+Table1!R25</f>
        <v>1512886.51</v>
      </c>
      <c r="E19" s="288">
        <f>+Table1!T25</f>
        <v>68526</v>
      </c>
      <c r="F19" s="297">
        <f>3.92-1</f>
        <v>2.92</v>
      </c>
      <c r="G19" s="320">
        <v>4.53</v>
      </c>
      <c r="H19" s="295">
        <f>+E19</f>
        <v>68526</v>
      </c>
      <c r="I19" s="268">
        <f>+E19</f>
        <v>68526</v>
      </c>
      <c r="J19" s="288">
        <f>+E19*0.92</f>
        <v>63043.920000000006</v>
      </c>
      <c r="K19" s="295">
        <v>0</v>
      </c>
      <c r="L19" s="295">
        <v>0</v>
      </c>
      <c r="M19" s="284"/>
    </row>
    <row r="20" spans="1:13" ht="9" customHeight="1">
      <c r="A20" s="5"/>
      <c r="C20" s="262"/>
      <c r="D20" s="283"/>
      <c r="E20" s="287"/>
      <c r="F20" s="296"/>
      <c r="G20" s="319"/>
      <c r="H20" s="291"/>
      <c r="I20" s="276"/>
      <c r="J20" s="287"/>
      <c r="K20" s="291"/>
      <c r="L20" s="291"/>
      <c r="M20" s="282"/>
    </row>
    <row r="21" spans="1:13" ht="12.75">
      <c r="A21" s="5"/>
      <c r="C21" s="309" t="s">
        <v>437</v>
      </c>
      <c r="D21" s="283">
        <f>+Table1!R27</f>
        <v>60749618.14</v>
      </c>
      <c r="E21" s="287">
        <f>+Table1!T27</f>
        <v>3089585</v>
      </c>
      <c r="F21" s="296"/>
      <c r="G21" s="319"/>
      <c r="H21" s="291">
        <f>+H10+H11+H16+H18+H19</f>
        <v>3088454.95</v>
      </c>
      <c r="I21" s="291">
        <f>+I10+I11+I16+I18+I19</f>
        <v>2966100.9</v>
      </c>
      <c r="J21" s="291">
        <f>+J10+J11+J16+J18+J19</f>
        <v>2660856.1799999997</v>
      </c>
      <c r="K21" s="291">
        <f>SUM(K10:K20)</f>
        <v>0</v>
      </c>
      <c r="L21" s="291">
        <f>SUM(L10:L20)</f>
        <v>0</v>
      </c>
      <c r="M21" s="291">
        <f>SUM(H21:L21)</f>
        <v>8715412.03</v>
      </c>
    </row>
    <row r="22" spans="1:15" ht="18" customHeight="1">
      <c r="A22" s="5"/>
      <c r="C22" s="321" t="s">
        <v>433</v>
      </c>
      <c r="D22" s="294"/>
      <c r="E22" s="288"/>
      <c r="F22" s="297"/>
      <c r="G22" s="320"/>
      <c r="H22" s="295">
        <v>3249029</v>
      </c>
      <c r="I22" s="295">
        <v>3249029</v>
      </c>
      <c r="J22" s="295">
        <v>3249029</v>
      </c>
      <c r="K22" s="295">
        <v>3249029</v>
      </c>
      <c r="L22" s="305">
        <v>3249029</v>
      </c>
      <c r="M22" s="295">
        <f>SUM(H22:L22)-1</f>
        <v>16245144</v>
      </c>
      <c r="O22" s="271"/>
    </row>
    <row r="23" spans="1:13" ht="16.5" customHeight="1">
      <c r="A23" s="5"/>
      <c r="C23" s="321" t="s">
        <v>436</v>
      </c>
      <c r="D23" s="322"/>
      <c r="E23" s="323"/>
      <c r="F23" s="324"/>
      <c r="G23" s="325"/>
      <c r="H23" s="295">
        <f>SUM(H21:H22)</f>
        <v>6337483.95</v>
      </c>
      <c r="I23" s="295">
        <f>SUM(I21:I22)</f>
        <v>6215129.9</v>
      </c>
      <c r="J23" s="295">
        <f>SUM(J21:J22)+1</f>
        <v>5909886.18</v>
      </c>
      <c r="K23" s="295">
        <f>SUM(K21:K22)</f>
        <v>3249029</v>
      </c>
      <c r="L23" s="295">
        <f>SUM(L21:L22)</f>
        <v>3249029</v>
      </c>
      <c r="M23" s="295">
        <f>+M21+M22</f>
        <v>24960556.03</v>
      </c>
    </row>
    <row r="24" spans="1:13" ht="12.75" hidden="1">
      <c r="A24" s="5"/>
      <c r="C24" s="311"/>
      <c r="D24" s="283"/>
      <c r="E24" s="287"/>
      <c r="F24" s="296"/>
      <c r="G24" s="319"/>
      <c r="H24" s="291"/>
      <c r="I24" s="308"/>
      <c r="J24" s="291"/>
      <c r="K24" s="291"/>
      <c r="L24" s="291"/>
      <c r="M24" s="291"/>
    </row>
    <row r="25" spans="1:13" ht="12.75" hidden="1">
      <c r="A25" s="5"/>
      <c r="C25" s="318" t="s">
        <v>434</v>
      </c>
      <c r="D25" s="283"/>
      <c r="E25" s="287"/>
      <c r="F25" s="296"/>
      <c r="G25" s="319"/>
      <c r="H25" s="291"/>
      <c r="I25" s="308"/>
      <c r="J25" s="291"/>
      <c r="K25" s="291"/>
      <c r="L25" s="291"/>
      <c r="M25" s="291"/>
    </row>
    <row r="26" spans="1:13" ht="12.75" hidden="1">
      <c r="A26" s="5"/>
      <c r="C26" s="309" t="s">
        <v>427</v>
      </c>
      <c r="D26" s="283">
        <f>+Table1!R35</f>
        <v>13666966.340000002</v>
      </c>
      <c r="E26" s="287">
        <f>+Table1!T35</f>
        <v>562811</v>
      </c>
      <c r="F26" s="296"/>
      <c r="G26" s="319">
        <f>+Table1!V35</f>
        <v>4.12</v>
      </c>
      <c r="H26" s="291">
        <f>+Table1!T35</f>
        <v>562811</v>
      </c>
      <c r="I26" s="291">
        <f>+H26</f>
        <v>562811</v>
      </c>
      <c r="J26" s="308">
        <f>+I26</f>
        <v>562811</v>
      </c>
      <c r="K26" s="316">
        <f>+J26</f>
        <v>562811</v>
      </c>
      <c r="L26" s="317">
        <f>+K26</f>
        <v>562811</v>
      </c>
      <c r="M26" s="316"/>
    </row>
    <row r="27" spans="1:13" ht="12.75" hidden="1">
      <c r="A27" s="5"/>
      <c r="C27" s="309" t="s">
        <v>428</v>
      </c>
      <c r="D27" s="283">
        <f>+Table1!R38</f>
        <v>35297120.5</v>
      </c>
      <c r="E27" s="287">
        <f>+Table1!T38</f>
        <v>824633</v>
      </c>
      <c r="F27" s="296"/>
      <c r="G27" s="319">
        <f>+Table1!V38</f>
        <v>2.34</v>
      </c>
      <c r="H27" s="291">
        <f>+Table1!T38</f>
        <v>824633</v>
      </c>
      <c r="I27" s="291">
        <f aca="true" t="shared" si="0" ref="I27:L30">+H27</f>
        <v>824633</v>
      </c>
      <c r="J27" s="308">
        <f t="shared" si="0"/>
        <v>824633</v>
      </c>
      <c r="K27" s="316">
        <f t="shared" si="0"/>
        <v>824633</v>
      </c>
      <c r="L27" s="317">
        <f t="shared" si="0"/>
        <v>824633</v>
      </c>
      <c r="M27" s="316"/>
    </row>
    <row r="28" spans="1:13" ht="12.75" hidden="1">
      <c r="A28" s="5"/>
      <c r="C28" s="309" t="s">
        <v>429</v>
      </c>
      <c r="D28" s="283">
        <f>+Table1!R49</f>
        <v>124194603.61000001</v>
      </c>
      <c r="E28" s="287">
        <f>+Table1!T49</f>
        <v>3048497</v>
      </c>
      <c r="F28" s="296"/>
      <c r="G28" s="319">
        <f>+Table1!V49</f>
        <v>2.45</v>
      </c>
      <c r="H28" s="291">
        <f>+Table1!T49</f>
        <v>3048497</v>
      </c>
      <c r="I28" s="291">
        <f t="shared" si="0"/>
        <v>3048497</v>
      </c>
      <c r="J28" s="308">
        <f t="shared" si="0"/>
        <v>3048497</v>
      </c>
      <c r="K28" s="316">
        <f t="shared" si="0"/>
        <v>3048497</v>
      </c>
      <c r="L28" s="317">
        <f t="shared" si="0"/>
        <v>3048497</v>
      </c>
      <c r="M28" s="316"/>
    </row>
    <row r="29" spans="1:13" ht="12.75" hidden="1">
      <c r="A29" s="5"/>
      <c r="C29" s="309" t="s">
        <v>430</v>
      </c>
      <c r="D29" s="283">
        <f>+Table1!R65</f>
        <v>348681009.64000005</v>
      </c>
      <c r="E29" s="287">
        <f>+Table1!T65</f>
        <v>11890664</v>
      </c>
      <c r="F29" s="296"/>
      <c r="G29" s="319">
        <f>+Table1!V65</f>
        <v>3.41</v>
      </c>
      <c r="H29" s="291">
        <f>+Table1!T65</f>
        <v>11890664</v>
      </c>
      <c r="I29" s="291">
        <f t="shared" si="0"/>
        <v>11890664</v>
      </c>
      <c r="J29" s="308">
        <f t="shared" si="0"/>
        <v>11890664</v>
      </c>
      <c r="K29" s="316">
        <f t="shared" si="0"/>
        <v>11890664</v>
      </c>
      <c r="L29" s="317">
        <f t="shared" si="0"/>
        <v>11890664</v>
      </c>
      <c r="M29" s="316"/>
    </row>
    <row r="30" spans="1:13" ht="12.75" hidden="1">
      <c r="A30" s="5"/>
      <c r="C30" s="309" t="s">
        <v>431</v>
      </c>
      <c r="D30" s="283">
        <f>+Table1!R78</f>
        <v>44514725.77</v>
      </c>
      <c r="E30" s="287">
        <f>+Table1!T78</f>
        <v>2586360</v>
      </c>
      <c r="F30" s="296"/>
      <c r="G30" s="319">
        <f>+Table1!V78</f>
        <v>5.81</v>
      </c>
      <c r="H30" s="291">
        <f>+Table1!T78</f>
        <v>2586360</v>
      </c>
      <c r="I30" s="291">
        <f t="shared" si="0"/>
        <v>2586360</v>
      </c>
      <c r="J30" s="308">
        <f t="shared" si="0"/>
        <v>2586360</v>
      </c>
      <c r="K30" s="316">
        <f t="shared" si="0"/>
        <v>2586360</v>
      </c>
      <c r="L30" s="317">
        <f t="shared" si="0"/>
        <v>2586360</v>
      </c>
      <c r="M30" s="316"/>
    </row>
    <row r="31" spans="1:13" ht="12.75" hidden="1">
      <c r="A31" s="5"/>
      <c r="C31" s="309"/>
      <c r="D31" s="314">
        <f>SUM(D21:D30)</f>
        <v>627104044</v>
      </c>
      <c r="E31" s="314">
        <f>SUM(E21:E30)</f>
        <v>22002550</v>
      </c>
      <c r="F31" s="296"/>
      <c r="G31" s="319"/>
      <c r="H31" s="291"/>
      <c r="I31" s="308"/>
      <c r="J31" s="291"/>
      <c r="K31" s="291"/>
      <c r="L31" s="291"/>
      <c r="M31" s="291"/>
    </row>
    <row r="32" spans="1:13" ht="6" customHeight="1" hidden="1">
      <c r="A32" s="5"/>
      <c r="C32" s="309"/>
      <c r="D32" s="283"/>
      <c r="E32" s="287"/>
      <c r="F32" s="296"/>
      <c r="G32" s="319"/>
      <c r="H32" s="291"/>
      <c r="I32" s="308"/>
      <c r="J32" s="291"/>
      <c r="K32" s="291"/>
      <c r="L32" s="291"/>
      <c r="M32" s="291"/>
    </row>
    <row r="33" spans="3:13" ht="12.75" hidden="1">
      <c r="C33" s="310" t="s">
        <v>432</v>
      </c>
      <c r="D33" s="298"/>
      <c r="E33" s="298"/>
      <c r="F33" s="298"/>
      <c r="G33" s="315"/>
      <c r="H33" s="307">
        <f>SUM(H23:H32)</f>
        <v>25250448.95</v>
      </c>
      <c r="I33" s="307">
        <f>SUM(I23:I32)</f>
        <v>25128094.9</v>
      </c>
      <c r="J33" s="307">
        <f>SUM(J23:J32)</f>
        <v>24822851.18</v>
      </c>
      <c r="K33" s="307">
        <f>SUM(K23:K32)</f>
        <v>22161994</v>
      </c>
      <c r="L33" s="307">
        <f>SUM(L23:L32)</f>
        <v>22161994</v>
      </c>
      <c r="M33" s="307"/>
    </row>
    <row r="37" ht="12.75">
      <c r="I37" s="271"/>
    </row>
    <row r="38" ht="12.75">
      <c r="I38" s="271"/>
    </row>
    <row r="39" ht="12.75">
      <c r="I39" s="271"/>
    </row>
    <row r="40" ht="12.75">
      <c r="I40" s="271"/>
    </row>
    <row r="41" spans="8:9" ht="12.75">
      <c r="H41" s="272"/>
      <c r="I41" s="271"/>
    </row>
    <row r="42" spans="8:9" ht="12.75">
      <c r="H42" s="272"/>
      <c r="I42" s="271"/>
    </row>
    <row r="43" spans="8:9" ht="12.75">
      <c r="H43" s="272"/>
      <c r="I43" s="271"/>
    </row>
  </sheetData>
  <sheetProtection/>
  <mergeCells count="5">
    <mergeCell ref="C2:M2"/>
    <mergeCell ref="C3:M3"/>
    <mergeCell ref="C4:M4"/>
    <mergeCell ref="E5:H5"/>
    <mergeCell ref="H6:L6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tabSelected="1" zoomScale="90" zoomScaleNormal="90" zoomScaleSheetLayoutView="75" zoomScalePageLayoutView="0" workbookViewId="0" topLeftCell="E1">
      <pane ySplit="9" topLeftCell="A10" activePane="bottomLeft" state="frozen"/>
      <selection pane="topLeft" activeCell="AF35" sqref="AF35"/>
      <selection pane="bottomLeft" activeCell="AF35" sqref="AF35"/>
    </sheetView>
  </sheetViews>
  <sheetFormatPr defaultColWidth="8.8515625" defaultRowHeight="12.75" customHeight="1" outlineLevelRow="1" outlineLevelCol="1"/>
  <cols>
    <col min="1" max="1" width="9.00390625" style="25" hidden="1" customWidth="1" outlineLevel="1"/>
    <col min="2" max="2" width="2.28125" style="25" hidden="1" customWidth="1" outlineLevel="1"/>
    <col min="3" max="3" width="14.28125" style="25" hidden="1" customWidth="1" outlineLevel="1"/>
    <col min="4" max="4" width="2.7109375" style="25" hidden="1" customWidth="1" outlineLevel="1"/>
    <col min="5" max="5" width="2.28125" style="28" customWidth="1" collapsed="1"/>
    <col min="6" max="6" width="7.00390625" style="26" customWidth="1"/>
    <col min="7" max="7" width="0.85546875" style="26" customWidth="1"/>
    <col min="8" max="8" width="24.8515625" style="25" customWidth="1"/>
    <col min="9" max="9" width="0.71875" style="25" customWidth="1"/>
    <col min="10" max="10" width="17.140625" style="25" bestFit="1" customWidth="1"/>
    <col min="11" max="11" width="1.421875" style="25" customWidth="1"/>
    <col min="12" max="12" width="15.7109375" style="25" customWidth="1"/>
    <col min="13" max="13" width="1.7109375" style="25" customWidth="1"/>
    <col min="14" max="14" width="16.28125" style="24" bestFit="1" customWidth="1"/>
    <col min="15" max="15" width="2.28125" style="25" customWidth="1"/>
    <col min="16" max="16" width="14.00390625" style="24" bestFit="1" customWidth="1"/>
    <col min="17" max="17" width="1.7109375" style="24" customWidth="1"/>
    <col min="18" max="18" width="10.421875" style="24" bestFit="1" customWidth="1"/>
    <col min="19" max="19" width="2.28125" style="25" customWidth="1"/>
    <col min="20" max="20" width="15.140625" style="35" bestFit="1" customWidth="1"/>
    <col min="21" max="21" width="2.57421875" style="25" customWidth="1"/>
    <col min="22" max="22" width="15.140625" style="24" bestFit="1" customWidth="1"/>
    <col min="23" max="16384" width="8.8515625" style="25" customWidth="1"/>
  </cols>
  <sheetData>
    <row r="1" spans="5:22" ht="12.75" customHeight="1">
      <c r="E1" s="129" t="s">
        <v>28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5:22" ht="12.75" customHeight="1"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5:22" ht="12.75" customHeight="1">
      <c r="E3" s="108" t="s">
        <v>272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5:22" ht="12.75" customHeight="1">
      <c r="E4" s="2" t="s">
        <v>332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5:22" ht="12.75" customHeight="1">
      <c r="E5" s="141"/>
      <c r="F5" s="142"/>
      <c r="G5" s="141"/>
      <c r="H5" s="143"/>
      <c r="I5" s="1"/>
      <c r="J5" s="1"/>
      <c r="K5" s="1"/>
      <c r="L5" s="10"/>
      <c r="M5" s="1"/>
      <c r="N5" s="5"/>
      <c r="O5" s="1"/>
      <c r="P5" s="20"/>
      <c r="Q5" s="20"/>
      <c r="R5" s="20"/>
      <c r="S5" s="1"/>
      <c r="T5" s="151"/>
      <c r="U5" s="1"/>
      <c r="V5" s="5"/>
    </row>
    <row r="6" spans="5:22" ht="12.75" customHeight="1">
      <c r="E6" s="133"/>
      <c r="F6" s="144"/>
      <c r="G6" s="133"/>
      <c r="H6" s="133"/>
      <c r="I6" s="3"/>
      <c r="J6" s="32"/>
      <c r="K6" s="3"/>
      <c r="L6" s="11" t="s">
        <v>188</v>
      </c>
      <c r="M6" s="3"/>
      <c r="N6" s="14" t="s">
        <v>273</v>
      </c>
      <c r="O6" s="3"/>
      <c r="P6" s="135" t="s">
        <v>192</v>
      </c>
      <c r="Q6" s="135"/>
      <c r="R6" s="135"/>
      <c r="S6" s="3"/>
      <c r="T6" s="137" t="s">
        <v>275</v>
      </c>
      <c r="U6" s="1"/>
      <c r="V6" s="135" t="s">
        <v>274</v>
      </c>
    </row>
    <row r="7" spans="5:22" ht="12.75" customHeight="1">
      <c r="E7" s="133"/>
      <c r="F7" s="144"/>
      <c r="G7" s="133"/>
      <c r="H7" s="133"/>
      <c r="I7" s="3"/>
      <c r="J7" s="32" t="s">
        <v>173</v>
      </c>
      <c r="K7" s="3"/>
      <c r="L7" s="11" t="s">
        <v>189</v>
      </c>
      <c r="M7" s="3"/>
      <c r="N7" s="14" t="s">
        <v>276</v>
      </c>
      <c r="O7" s="3"/>
      <c r="P7" s="152" t="s">
        <v>280</v>
      </c>
      <c r="Q7" s="152"/>
      <c r="R7" s="152"/>
      <c r="S7" s="3"/>
      <c r="T7" s="137" t="s">
        <v>278</v>
      </c>
      <c r="U7" s="1"/>
      <c r="V7" s="135" t="s">
        <v>277</v>
      </c>
    </row>
    <row r="8" spans="3:22" ht="12.75">
      <c r="C8" s="150" t="s">
        <v>271</v>
      </c>
      <c r="E8" s="2" t="s">
        <v>180</v>
      </c>
      <c r="F8" s="12"/>
      <c r="G8" s="2"/>
      <c r="H8" s="2"/>
      <c r="I8" s="3"/>
      <c r="J8" s="210" t="s">
        <v>322</v>
      </c>
      <c r="K8" s="3"/>
      <c r="L8" s="11" t="s">
        <v>190</v>
      </c>
      <c r="M8" s="3"/>
      <c r="N8" s="14" t="s">
        <v>190</v>
      </c>
      <c r="O8" s="3"/>
      <c r="P8" s="16" t="s">
        <v>186</v>
      </c>
      <c r="Q8" s="38"/>
      <c r="R8" s="16" t="s">
        <v>183</v>
      </c>
      <c r="S8" s="3"/>
      <c r="T8" s="138" t="s">
        <v>279</v>
      </c>
      <c r="U8" s="1"/>
      <c r="V8" s="42" t="s">
        <v>278</v>
      </c>
    </row>
    <row r="9" spans="5:22" ht="12.75" customHeight="1">
      <c r="E9" s="4" t="s">
        <v>0</v>
      </c>
      <c r="F9" s="13"/>
      <c r="G9" s="4"/>
      <c r="H9" s="4"/>
      <c r="I9" s="3"/>
      <c r="J9" s="21">
        <v>-2</v>
      </c>
      <c r="K9" s="3"/>
      <c r="L9" s="15">
        <v>-3</v>
      </c>
      <c r="M9" s="3"/>
      <c r="N9" s="22" t="s">
        <v>3</v>
      </c>
      <c r="O9" s="3"/>
      <c r="P9" s="18" t="s">
        <v>7</v>
      </c>
      <c r="Q9" s="18"/>
      <c r="R9" s="22" t="s">
        <v>281</v>
      </c>
      <c r="S9" s="18"/>
      <c r="T9" s="140" t="s">
        <v>68</v>
      </c>
      <c r="U9" s="1"/>
      <c r="V9" s="47" t="s">
        <v>69</v>
      </c>
    </row>
    <row r="10" spans="5:21" ht="12.75" customHeight="1">
      <c r="E10" s="122"/>
      <c r="F10" s="145"/>
      <c r="G10" s="122"/>
      <c r="H10" s="122"/>
      <c r="I10" s="6"/>
      <c r="J10" s="39"/>
      <c r="K10" s="6"/>
      <c r="L10" s="21"/>
      <c r="M10" s="6"/>
      <c r="N10" s="21"/>
      <c r="O10" s="6"/>
      <c r="P10" s="41"/>
      <c r="Q10" s="41"/>
      <c r="R10" s="41"/>
      <c r="S10" s="6"/>
      <c r="T10" s="139"/>
      <c r="U10" s="7"/>
    </row>
    <row r="11" spans="5:21" ht="12.75" customHeight="1">
      <c r="E11" s="30" t="s">
        <v>12</v>
      </c>
      <c r="F11" s="145"/>
      <c r="G11" s="122"/>
      <c r="H11" s="122"/>
      <c r="I11" s="6"/>
      <c r="J11" s="39"/>
      <c r="K11" s="6"/>
      <c r="L11" s="21"/>
      <c r="M11" s="6"/>
      <c r="N11" s="21"/>
      <c r="O11" s="6"/>
      <c r="P11" s="41"/>
      <c r="Q11" s="41"/>
      <c r="R11" s="41"/>
      <c r="S11" s="6"/>
      <c r="T11" s="139"/>
      <c r="U11" s="7"/>
    </row>
    <row r="12" spans="5:21" ht="12.75" customHeight="1">
      <c r="E12" s="30"/>
      <c r="F12" s="145"/>
      <c r="G12" s="122"/>
      <c r="H12" s="122"/>
      <c r="I12" s="6"/>
      <c r="J12" s="39"/>
      <c r="K12" s="6"/>
      <c r="L12" s="21"/>
      <c r="M12" s="6"/>
      <c r="N12" s="21"/>
      <c r="O12" s="6"/>
      <c r="P12" s="41"/>
      <c r="Q12" s="41"/>
      <c r="R12" s="41"/>
      <c r="S12" s="6"/>
      <c r="T12" s="139"/>
      <c r="U12" s="7"/>
    </row>
    <row r="13" spans="5:21" ht="12.75" customHeight="1">
      <c r="E13" s="27" t="s">
        <v>191</v>
      </c>
      <c r="F13" s="145"/>
      <c r="G13" s="122"/>
      <c r="H13" s="122"/>
      <c r="I13" s="6"/>
      <c r="J13" s="39"/>
      <c r="K13" s="6"/>
      <c r="L13" s="21"/>
      <c r="M13" s="6"/>
      <c r="N13" s="21"/>
      <c r="O13" s="6"/>
      <c r="P13" s="41"/>
      <c r="Q13" s="41"/>
      <c r="R13" s="41"/>
      <c r="S13" s="6"/>
      <c r="T13" s="139"/>
      <c r="U13" s="7"/>
    </row>
    <row r="14" spans="5:21" ht="7.5" customHeight="1">
      <c r="E14" s="27"/>
      <c r="F14" s="145"/>
      <c r="G14" s="122"/>
      <c r="H14" s="122"/>
      <c r="I14" s="6"/>
      <c r="J14" s="39"/>
      <c r="K14" s="6"/>
      <c r="L14" s="21"/>
      <c r="M14" s="6"/>
      <c r="N14" s="21"/>
      <c r="O14" s="6"/>
      <c r="P14" s="41"/>
      <c r="Q14" s="41"/>
      <c r="R14" s="41"/>
      <c r="S14" s="6"/>
      <c r="T14" s="139"/>
      <c r="U14" s="7"/>
    </row>
    <row r="15" spans="6:21" ht="12.75" customHeight="1">
      <c r="F15" s="63" t="s">
        <v>193</v>
      </c>
      <c r="G15" s="122"/>
      <c r="H15" s="122"/>
      <c r="I15" s="6"/>
      <c r="J15" s="39"/>
      <c r="K15" s="6"/>
      <c r="L15" s="21"/>
      <c r="M15" s="6"/>
      <c r="N15" s="21"/>
      <c r="O15" s="6"/>
      <c r="P15" s="41"/>
      <c r="Q15" s="41"/>
      <c r="R15" s="41"/>
      <c r="S15" s="6"/>
      <c r="T15" s="139"/>
      <c r="U15" s="7"/>
    </row>
    <row r="16" spans="1:22" ht="12.75" customHeight="1">
      <c r="A16" s="25">
        <v>311</v>
      </c>
      <c r="C16" s="25">
        <v>1102</v>
      </c>
      <c r="E16" s="30"/>
      <c r="F16" s="65" t="s">
        <v>194</v>
      </c>
      <c r="G16" s="122"/>
      <c r="H16" s="62" t="s">
        <v>195</v>
      </c>
      <c r="I16" s="6"/>
      <c r="J16" s="92">
        <f>VLOOKUP($A16,Deprlot,6,FALSE)</f>
        <v>9006038.08</v>
      </c>
      <c r="K16" s="249"/>
      <c r="L16" s="72">
        <f>VLOOKUP($A16,Deprlot,7,FALSE)</f>
        <v>8546939</v>
      </c>
      <c r="M16" s="249"/>
      <c r="N16" s="92">
        <f>_xlfn.SUMIFS(Controls!$H:$H,Controls!$A:$A,$A16)</f>
        <v>5576582.006081498</v>
      </c>
      <c r="O16" s="249"/>
      <c r="P16" s="250">
        <f>ROUND(L16-N16,2)</f>
        <v>2970356.99</v>
      </c>
      <c r="Q16" s="73"/>
      <c r="R16" s="173">
        <f>ROUND(P16/L16,4)</f>
        <v>0.3475</v>
      </c>
      <c r="S16" s="6"/>
      <c r="T16" s="71">
        <f>VLOOKUP($A16,Deprlot,11,FALSE)</f>
        <v>3.96</v>
      </c>
      <c r="U16" s="7"/>
      <c r="V16" s="186">
        <f>ROUND(P16/T16,0)</f>
        <v>750090</v>
      </c>
    </row>
    <row r="17" spans="1:22" ht="12.75" customHeight="1">
      <c r="A17" s="25">
        <v>312</v>
      </c>
      <c r="C17" s="86" t="s">
        <v>62</v>
      </c>
      <c r="E17" s="30"/>
      <c r="F17" s="65" t="s">
        <v>196</v>
      </c>
      <c r="G17" s="122"/>
      <c r="H17" s="62" t="s">
        <v>197</v>
      </c>
      <c r="I17" s="6"/>
      <c r="J17" s="92">
        <f>VLOOKUP($A17,Deprlot,6,FALSE)</f>
        <v>26445979.81</v>
      </c>
      <c r="K17" s="92"/>
      <c r="L17" s="92">
        <f>VLOOKUP($A17,Deprlot,7,FALSE)</f>
        <v>26377078</v>
      </c>
      <c r="M17" s="92"/>
      <c r="N17" s="92">
        <f>_xlfn.SUMIFS(Controls!$H:$H,Controls!$A:$A,$A17)</f>
        <v>19588953.185872786</v>
      </c>
      <c r="O17" s="92"/>
      <c r="P17" s="250">
        <f>ROUND(L17-N17,2)</f>
        <v>6788124.81</v>
      </c>
      <c r="Q17" s="73"/>
      <c r="R17" s="173">
        <f>ROUND(P17/L17,4)</f>
        <v>0.2573</v>
      </c>
      <c r="S17" s="74"/>
      <c r="T17" s="71">
        <f>VLOOKUP($A17,Deprlot,11,FALSE)</f>
        <v>3.96</v>
      </c>
      <c r="U17" s="7"/>
      <c r="V17" s="254">
        <f>ROUND(P17/T17,0)</f>
        <v>1714173</v>
      </c>
    </row>
    <row r="18" spans="1:22" ht="12.75" customHeight="1">
      <c r="A18" s="25">
        <v>314</v>
      </c>
      <c r="C18" s="25">
        <v>1107</v>
      </c>
      <c r="E18" s="30"/>
      <c r="F18" s="65" t="s">
        <v>198</v>
      </c>
      <c r="G18" s="122"/>
      <c r="H18" s="62" t="s">
        <v>199</v>
      </c>
      <c r="I18" s="6"/>
      <c r="J18" s="92"/>
      <c r="K18" s="92"/>
      <c r="L18" s="92"/>
      <c r="M18" s="92"/>
      <c r="N18" s="92"/>
      <c r="O18" s="92"/>
      <c r="P18" s="250"/>
      <c r="Q18" s="73"/>
      <c r="R18" s="173"/>
      <c r="S18" s="74"/>
      <c r="T18" s="71"/>
      <c r="U18" s="7"/>
      <c r="V18" s="254"/>
    </row>
    <row r="19" spans="1:22" ht="12.75" customHeight="1">
      <c r="A19" s="124" t="s">
        <v>386</v>
      </c>
      <c r="E19" s="30"/>
      <c r="F19" s="65"/>
      <c r="G19" s="122"/>
      <c r="H19" s="243" t="s">
        <v>382</v>
      </c>
      <c r="I19" s="6"/>
      <c r="J19" s="92">
        <f>VLOOKUP($A19,Deprlot,6,FALSE)</f>
        <v>1954690.95</v>
      </c>
      <c r="K19" s="92"/>
      <c r="L19" s="92">
        <f>VLOOKUP($A19,Deprlot,7,FALSE)</f>
        <v>2100717</v>
      </c>
      <c r="M19" s="92"/>
      <c r="N19" s="92">
        <f>VLOOKUP($A19,Acct314Reserve,4,0)</f>
        <v>1373687.14</v>
      </c>
      <c r="O19" s="92"/>
      <c r="P19" s="250">
        <f>ROUND(L19-N19,2)</f>
        <v>727029.86</v>
      </c>
      <c r="Q19" s="73"/>
      <c r="R19" s="173">
        <f>ROUND(P19/L19,4)</f>
        <v>0.3461</v>
      </c>
      <c r="S19" s="74"/>
      <c r="T19" s="71">
        <f>VLOOKUP($A19,Deprlot,11,FALSE)</f>
        <v>1.99</v>
      </c>
      <c r="U19" s="7"/>
      <c r="V19" s="254">
        <f>ROUND(P19/T19,0)</f>
        <v>365342</v>
      </c>
    </row>
    <row r="20" spans="1:22" ht="12.75" customHeight="1">
      <c r="A20" s="124" t="s">
        <v>387</v>
      </c>
      <c r="E20" s="30"/>
      <c r="F20" s="65"/>
      <c r="G20" s="122"/>
      <c r="H20" s="243" t="s">
        <v>383</v>
      </c>
      <c r="I20" s="6"/>
      <c r="J20" s="92">
        <f>VLOOKUP($A20,Deprlot,6,FALSE)</f>
        <v>3909381.9</v>
      </c>
      <c r="K20" s="92"/>
      <c r="L20" s="92">
        <f>VLOOKUP($A20,Deprlot,7,FALSE)</f>
        <v>4026569</v>
      </c>
      <c r="M20" s="92"/>
      <c r="N20" s="92">
        <f>VLOOKUP($A20,Acct314Reserve,4,0)</f>
        <v>2633027.7</v>
      </c>
      <c r="O20" s="92"/>
      <c r="P20" s="250">
        <f>ROUND(L20-N20,2)</f>
        <v>1393541.3</v>
      </c>
      <c r="Q20" s="73"/>
      <c r="R20" s="173">
        <f>ROUND(P20/L20,4)</f>
        <v>0.3461</v>
      </c>
      <c r="S20" s="74"/>
      <c r="T20" s="71">
        <f>VLOOKUP($A20,Deprlot,11,FALSE)</f>
        <v>2.98</v>
      </c>
      <c r="U20" s="7"/>
      <c r="V20" s="254">
        <f>ROUND(P20/T20,0)</f>
        <v>467631</v>
      </c>
    </row>
    <row r="21" spans="1:22" ht="12.75" customHeight="1">
      <c r="A21" s="124" t="s">
        <v>388</v>
      </c>
      <c r="E21" s="30"/>
      <c r="F21" s="65"/>
      <c r="G21" s="122"/>
      <c r="H21" s="243" t="s">
        <v>384</v>
      </c>
      <c r="I21" s="6"/>
      <c r="J21" s="92">
        <f>VLOOKUP($A21,Deprlot,6,FALSE)</f>
        <v>15637527.64</v>
      </c>
      <c r="K21" s="92"/>
      <c r="L21" s="92">
        <f>VLOOKUP($A21,Deprlot,7,FALSE)</f>
        <v>15442475</v>
      </c>
      <c r="M21" s="92"/>
      <c r="N21" s="92">
        <f>VLOOKUP($A21,Acct314Reserve,4,0)</f>
        <v>10098042.4</v>
      </c>
      <c r="O21" s="92"/>
      <c r="P21" s="250">
        <f>ROUND(L21-N21,2)</f>
        <v>5344432.6</v>
      </c>
      <c r="Q21" s="73"/>
      <c r="R21" s="173">
        <f>ROUND(P21/L21,4)</f>
        <v>0.3461</v>
      </c>
      <c r="S21" s="74"/>
      <c r="T21" s="71">
        <f>VLOOKUP($A21,Deprlot,11,FALSE)</f>
        <v>3.97</v>
      </c>
      <c r="U21" s="7"/>
      <c r="V21" s="254">
        <f>ROUND(P21/T21,0)</f>
        <v>1346205</v>
      </c>
    </row>
    <row r="22" spans="1:22" ht="12.75" customHeight="1">
      <c r="A22" s="25">
        <v>314</v>
      </c>
      <c r="E22" s="30"/>
      <c r="F22" s="65"/>
      <c r="G22" s="122"/>
      <c r="H22" s="244" t="s">
        <v>385</v>
      </c>
      <c r="I22" s="6"/>
      <c r="J22" s="198">
        <f>SUBTOTAL(9,J19:J21)</f>
        <v>21501600.490000002</v>
      </c>
      <c r="K22" s="92"/>
      <c r="L22" s="198">
        <f>SUBTOTAL(9,L19:L21)</f>
        <v>21569761</v>
      </c>
      <c r="M22" s="92"/>
      <c r="N22" s="198">
        <f>SUBTOTAL(9,N19:N21)</f>
        <v>14104757.24</v>
      </c>
      <c r="O22" s="92"/>
      <c r="P22" s="198">
        <f>SUBTOTAL(9,P19:P21)</f>
        <v>7465003.76</v>
      </c>
      <c r="Q22" s="73"/>
      <c r="R22" s="208">
        <f>ROUND(P22/L22,4)</f>
        <v>0.3461</v>
      </c>
      <c r="S22" s="74"/>
      <c r="T22" s="71"/>
      <c r="U22" s="7"/>
      <c r="V22" s="198">
        <f>SUBTOTAL(9,V19:V21)</f>
        <v>2179178</v>
      </c>
    </row>
    <row r="23" spans="5:22" ht="8.25" customHeight="1">
      <c r="E23" s="30"/>
      <c r="F23" s="65"/>
      <c r="G23" s="122"/>
      <c r="H23" s="62"/>
      <c r="I23" s="6"/>
      <c r="J23" s="92"/>
      <c r="K23" s="92"/>
      <c r="L23" s="92"/>
      <c r="M23" s="92"/>
      <c r="N23" s="92"/>
      <c r="O23" s="92"/>
      <c r="P23" s="250"/>
      <c r="Q23" s="73"/>
      <c r="R23" s="173"/>
      <c r="S23" s="74"/>
      <c r="T23" s="71"/>
      <c r="U23" s="7"/>
      <c r="V23" s="254"/>
    </row>
    <row r="24" spans="1:22" ht="12.75" customHeight="1">
      <c r="A24" s="25">
        <v>315</v>
      </c>
      <c r="C24" s="25">
        <v>1113</v>
      </c>
      <c r="E24" s="30"/>
      <c r="F24" s="65" t="s">
        <v>200</v>
      </c>
      <c r="G24" s="122"/>
      <c r="H24" s="62" t="s">
        <v>201</v>
      </c>
      <c r="I24" s="6"/>
      <c r="J24" s="92">
        <f>VLOOKUP($A24,Deprlot,6,FALSE)</f>
        <v>2283113.25</v>
      </c>
      <c r="K24" s="92"/>
      <c r="L24" s="92">
        <f>VLOOKUP($A24,Deprlot,7,FALSE)</f>
        <v>2444835</v>
      </c>
      <c r="M24" s="92"/>
      <c r="N24" s="92">
        <f>_xlfn.SUMIFS(Controls!$H:$H,Controls!$A:$A,$A24)</f>
        <v>1996683.9334008622</v>
      </c>
      <c r="O24" s="92"/>
      <c r="P24" s="250">
        <f>ROUND(L24-N24,2)</f>
        <v>448151.07</v>
      </c>
      <c r="Q24" s="73"/>
      <c r="R24" s="173">
        <f>ROUND(P24/L24,4)</f>
        <v>0.1833</v>
      </c>
      <c r="S24" s="74"/>
      <c r="T24" s="71">
        <f>VLOOKUP($A24,Deprlot,11,FALSE)</f>
        <v>3.95</v>
      </c>
      <c r="U24" s="7"/>
      <c r="V24" s="254">
        <f>ROUND(P24/T24,0)</f>
        <v>113456</v>
      </c>
    </row>
    <row r="25" spans="1:22" ht="12.75" customHeight="1">
      <c r="A25" s="25">
        <v>316</v>
      </c>
      <c r="C25" s="87" t="s">
        <v>63</v>
      </c>
      <c r="E25" s="30"/>
      <c r="F25" s="65" t="s">
        <v>202</v>
      </c>
      <c r="G25" s="122"/>
      <c r="H25" s="62" t="s">
        <v>203</v>
      </c>
      <c r="I25" s="6"/>
      <c r="J25" s="179">
        <f>VLOOKUP($A25,Deprlot,6,FALSE)</f>
        <v>1512886.51</v>
      </c>
      <c r="K25" s="92"/>
      <c r="L25" s="179">
        <f>VLOOKUP($A25,Deprlot,7,FALSE)</f>
        <v>1531750</v>
      </c>
      <c r="M25" s="92"/>
      <c r="N25" s="92">
        <f>_xlfn.SUMIFS(Controls!$H:$H,Controls!$A:$A,$A25)</f>
        <v>1196410.0230290082</v>
      </c>
      <c r="O25" s="92"/>
      <c r="P25" s="251">
        <f>ROUND(L25-N25,2)</f>
        <v>335339.98</v>
      </c>
      <c r="Q25" s="73"/>
      <c r="R25" s="173">
        <f>ROUND(P25/L25,4)</f>
        <v>0.2189</v>
      </c>
      <c r="S25" s="74"/>
      <c r="T25" s="71">
        <f>VLOOKUP($A25,Deprlot,11,FALSE)</f>
        <v>3.92</v>
      </c>
      <c r="U25" s="7"/>
      <c r="V25" s="255">
        <f>ROUND(P25/T25,0)</f>
        <v>85546</v>
      </c>
    </row>
    <row r="26" spans="5:22" ht="12.75" customHeight="1">
      <c r="E26" s="30"/>
      <c r="F26" s="145"/>
      <c r="G26" s="122"/>
      <c r="H26" s="122"/>
      <c r="I26" s="6"/>
      <c r="J26" s="248"/>
      <c r="K26" s="249"/>
      <c r="L26" s="248"/>
      <c r="M26" s="249"/>
      <c r="N26" s="252"/>
      <c r="O26" s="249"/>
      <c r="P26" s="253"/>
      <c r="Q26" s="41"/>
      <c r="R26" s="174"/>
      <c r="S26" s="6"/>
      <c r="T26" s="139"/>
      <c r="U26" s="7"/>
      <c r="V26" s="186"/>
    </row>
    <row r="27" spans="5:22" ht="12.75" customHeight="1">
      <c r="E27" s="27" t="s">
        <v>204</v>
      </c>
      <c r="F27" s="145"/>
      <c r="G27" s="122"/>
      <c r="H27" s="122"/>
      <c r="I27" s="6"/>
      <c r="J27" s="169">
        <f>SUBTOTAL(9,J16:J25)</f>
        <v>60749618.14</v>
      </c>
      <c r="K27" s="249"/>
      <c r="L27" s="169">
        <f>SUBTOTAL(9,L16:L25)</f>
        <v>60470363</v>
      </c>
      <c r="M27" s="249"/>
      <c r="N27" s="169">
        <f>SUBTOTAL(9,N16:N25)</f>
        <v>42463386.388384156</v>
      </c>
      <c r="O27" s="249"/>
      <c r="P27" s="169">
        <f>SUBTOTAL(9,P16:P25)</f>
        <v>18006976.610000003</v>
      </c>
      <c r="Q27" s="66"/>
      <c r="R27" s="175">
        <f>ROUND(P27/L27,4)</f>
        <v>0.2978</v>
      </c>
      <c r="S27" s="6"/>
      <c r="T27" s="139"/>
      <c r="U27" s="7"/>
      <c r="V27" s="169">
        <f>SUBTOTAL(9,V16:V25)</f>
        <v>4842443</v>
      </c>
    </row>
    <row r="28" spans="5:22" ht="12.75" customHeight="1">
      <c r="E28" s="30"/>
      <c r="F28" s="145"/>
      <c r="G28" s="122"/>
      <c r="H28" s="122"/>
      <c r="I28" s="6"/>
      <c r="J28" s="248"/>
      <c r="K28" s="249"/>
      <c r="L28" s="248"/>
      <c r="M28" s="249"/>
      <c r="N28" s="248"/>
      <c r="O28" s="249"/>
      <c r="P28" s="253"/>
      <c r="Q28" s="41"/>
      <c r="R28" s="174"/>
      <c r="S28" s="6"/>
      <c r="T28" s="139"/>
      <c r="U28" s="7"/>
      <c r="V28" s="186"/>
    </row>
    <row r="29" spans="5:22" s="31" customFormat="1" ht="12.75" customHeight="1">
      <c r="E29" s="55" t="s">
        <v>205</v>
      </c>
      <c r="F29" s="53"/>
      <c r="G29" s="53"/>
      <c r="J29" s="182"/>
      <c r="K29" s="182"/>
      <c r="L29" s="182"/>
      <c r="M29" s="182"/>
      <c r="N29" s="182"/>
      <c r="O29" s="182"/>
      <c r="P29" s="182"/>
      <c r="Q29" s="58"/>
      <c r="R29" s="176"/>
      <c r="T29" s="52"/>
      <c r="V29" s="182"/>
    </row>
    <row r="30" spans="5:22" s="31" customFormat="1" ht="7.5" customHeight="1">
      <c r="E30" s="55"/>
      <c r="F30" s="53"/>
      <c r="G30" s="53"/>
      <c r="J30" s="182"/>
      <c r="K30" s="182"/>
      <c r="L30" s="182"/>
      <c r="M30" s="182"/>
      <c r="N30" s="182"/>
      <c r="O30" s="182"/>
      <c r="P30" s="182"/>
      <c r="Q30" s="58"/>
      <c r="R30" s="176"/>
      <c r="T30" s="52"/>
      <c r="V30" s="182"/>
    </row>
    <row r="31" spans="5:22" s="31" customFormat="1" ht="12.75" customHeight="1">
      <c r="E31" s="55"/>
      <c r="F31" s="64" t="s">
        <v>206</v>
      </c>
      <c r="G31" s="53"/>
      <c r="J31" s="182"/>
      <c r="K31" s="182"/>
      <c r="L31" s="182"/>
      <c r="M31" s="182"/>
      <c r="N31" s="182"/>
      <c r="O31" s="182"/>
      <c r="P31" s="182"/>
      <c r="Q31" s="58"/>
      <c r="R31" s="176"/>
      <c r="T31" s="52"/>
      <c r="V31" s="182"/>
    </row>
    <row r="32" spans="1:22" s="31" customFormat="1" ht="12.75" customHeight="1">
      <c r="A32" s="25">
        <v>341</v>
      </c>
      <c r="C32" s="31">
        <v>1202</v>
      </c>
      <c r="E32" s="55"/>
      <c r="F32" s="53" t="s">
        <v>13</v>
      </c>
      <c r="G32" s="53"/>
      <c r="H32" s="51" t="s">
        <v>207</v>
      </c>
      <c r="J32" s="180">
        <f>VLOOKUP($A32,Deprlot,6,FALSE)</f>
        <v>481305.81</v>
      </c>
      <c r="K32" s="180"/>
      <c r="L32" s="180">
        <f>VLOOKUP($A32,Deprlot,7,FALSE)</f>
        <v>316843</v>
      </c>
      <c r="M32" s="180"/>
      <c r="N32" s="92">
        <f>_xlfn.SUMIFS(Controls!$H:$H,Controls!$A:$A,$A32)</f>
        <v>212390.83181042265</v>
      </c>
      <c r="O32" s="180"/>
      <c r="P32" s="250">
        <f>ROUND(L32-N32,2)</f>
        <v>104452.17</v>
      </c>
      <c r="Q32" s="78"/>
      <c r="R32" s="173">
        <f>ROUND(P32/L32,4)</f>
        <v>0.3297</v>
      </c>
      <c r="S32" s="79"/>
      <c r="T32" s="71">
        <f>IF(VLOOKUP($A32,Deprlot,11,FALSE)&lt;5,5,VLOOKUP($A32,Deprlot,11,FALSE))</f>
        <v>12.73</v>
      </c>
      <c r="U32" s="7" t="str">
        <f>IF(VLOOKUP($A32,Deprlot,11,FALSE)&lt;5,"b"," ")</f>
        <v> </v>
      </c>
      <c r="V32" s="180">
        <f>ROUND(P32/T32,0)</f>
        <v>8205</v>
      </c>
    </row>
    <row r="33" spans="1:22" s="31" customFormat="1" ht="12.75" customHeight="1">
      <c r="A33" s="95" t="s">
        <v>90</v>
      </c>
      <c r="C33" s="31">
        <v>1209</v>
      </c>
      <c r="E33" s="55"/>
      <c r="F33" s="53" t="s">
        <v>14</v>
      </c>
      <c r="G33" s="53"/>
      <c r="H33" s="51" t="s">
        <v>208</v>
      </c>
      <c r="J33" s="94">
        <f>VLOOKUP($A33,Deprlot,6,FALSE)</f>
        <v>12865544.8</v>
      </c>
      <c r="K33" s="180"/>
      <c r="L33" s="94">
        <f>VLOOKUP($A33,Deprlot,7,FALSE)</f>
        <v>6266803</v>
      </c>
      <c r="M33" s="180"/>
      <c r="N33" s="92">
        <f>_xlfn.SUMIFS(Controls!$H:$H,Controls!$A:$A,$A33)</f>
        <v>3388934.092959295</v>
      </c>
      <c r="O33" s="180"/>
      <c r="P33" s="250">
        <f>ROUND(L33-N33,2)</f>
        <v>2877868.91</v>
      </c>
      <c r="Q33" s="80"/>
      <c r="R33" s="173">
        <f>ROUND(P33/L33,4)</f>
        <v>0.4592</v>
      </c>
      <c r="S33" s="79"/>
      <c r="T33" s="71">
        <f>IF(VLOOKUP($A33,Deprlot,11,FALSE)&lt;5,5,VLOOKUP($A33,Deprlot,11,FALSE))</f>
        <v>13.04</v>
      </c>
      <c r="U33" s="7" t="str">
        <f>IF(VLOOKUP($A33,Deprlot,11,FALSE)&lt;5,"b"," ")</f>
        <v> </v>
      </c>
      <c r="V33" s="94">
        <f>ROUND(P33/T33,0)</f>
        <v>220695</v>
      </c>
    </row>
    <row r="34" spans="1:22" s="31" customFormat="1" ht="12.75" customHeight="1">
      <c r="A34" s="25">
        <v>346</v>
      </c>
      <c r="C34" s="31">
        <v>1215</v>
      </c>
      <c r="E34" s="55"/>
      <c r="F34" s="53" t="s">
        <v>15</v>
      </c>
      <c r="G34" s="53"/>
      <c r="H34" s="62" t="s">
        <v>203</v>
      </c>
      <c r="J34" s="181">
        <f>VLOOKUP($A34,Deprlot,6,FALSE)</f>
        <v>320115.73</v>
      </c>
      <c r="K34" s="180"/>
      <c r="L34" s="181">
        <f>VLOOKUP($A34,Deprlot,7,FALSE)</f>
        <v>187125</v>
      </c>
      <c r="M34" s="180"/>
      <c r="N34" s="92">
        <f>_xlfn.SUMIFS(Controls!$H:$H,Controls!$A:$A,$A34)</f>
        <v>125928.42270632648</v>
      </c>
      <c r="O34" s="180"/>
      <c r="P34" s="251">
        <f>ROUND(L34-N34,2)</f>
        <v>61196.58</v>
      </c>
      <c r="Q34" s="80"/>
      <c r="R34" s="173">
        <f>ROUND(P34/L34,4)</f>
        <v>0.327</v>
      </c>
      <c r="S34" s="79"/>
      <c r="T34" s="71">
        <f>IF(VLOOKUP($A34,Deprlot,11,FALSE)&lt;5,5,VLOOKUP($A34,Deprlot,11,FALSE))</f>
        <v>10.92</v>
      </c>
      <c r="U34" s="7" t="str">
        <f>IF(VLOOKUP($A34,Deprlot,11,FALSE)&lt;5,"b"," ")</f>
        <v> </v>
      </c>
      <c r="V34" s="181">
        <f>ROUND(P34/T34,0)</f>
        <v>5604</v>
      </c>
    </row>
    <row r="35" spans="1:22" s="31" customFormat="1" ht="12.75" customHeight="1">
      <c r="A35" s="25"/>
      <c r="E35" s="55"/>
      <c r="F35" s="165" t="s">
        <v>209</v>
      </c>
      <c r="G35" s="193"/>
      <c r="H35" s="62"/>
      <c r="I35" s="131"/>
      <c r="J35" s="205">
        <f>SUBTOTAL(9,J32:J34)</f>
        <v>13666966.340000002</v>
      </c>
      <c r="K35" s="205"/>
      <c r="L35" s="205">
        <f>SUBTOTAL(9,L32:L34)</f>
        <v>6770771</v>
      </c>
      <c r="M35" s="205"/>
      <c r="N35" s="207">
        <f>SUBTOTAL(9,N32:N34)</f>
        <v>3727253.347476044</v>
      </c>
      <c r="O35" s="205"/>
      <c r="P35" s="205">
        <f>SUBTOTAL(9,P32:P34)</f>
        <v>3043517.66</v>
      </c>
      <c r="Q35" s="205"/>
      <c r="R35" s="208">
        <f>ROUND(P35/L35,4)</f>
        <v>0.4495</v>
      </c>
      <c r="S35" s="206"/>
      <c r="T35" s="167"/>
      <c r="U35" s="206"/>
      <c r="V35" s="205">
        <f>SUBTOTAL(9,V32:V34)</f>
        <v>234504</v>
      </c>
    </row>
    <row r="36" spans="1:22" s="31" customFormat="1" ht="12.75" customHeight="1">
      <c r="A36" s="25"/>
      <c r="E36" s="55"/>
      <c r="F36" s="53" t="s">
        <v>192</v>
      </c>
      <c r="G36" s="53"/>
      <c r="H36" s="62"/>
      <c r="J36" s="94"/>
      <c r="K36" s="180"/>
      <c r="L36" s="94"/>
      <c r="M36" s="180"/>
      <c r="N36" s="94"/>
      <c r="O36" s="180"/>
      <c r="P36" s="94"/>
      <c r="Q36" s="80"/>
      <c r="R36" s="177"/>
      <c r="S36" s="79"/>
      <c r="T36" s="71"/>
      <c r="U36" s="79"/>
      <c r="V36" s="94"/>
    </row>
    <row r="37" spans="1:22" s="31" customFormat="1" ht="12.75" customHeight="1">
      <c r="A37" s="25"/>
      <c r="E37" s="55"/>
      <c r="F37" s="64" t="s">
        <v>210</v>
      </c>
      <c r="G37" s="53"/>
      <c r="H37" s="62"/>
      <c r="J37" s="94"/>
      <c r="K37" s="180"/>
      <c r="L37" s="94"/>
      <c r="M37" s="180"/>
      <c r="N37" s="94"/>
      <c r="O37" s="180"/>
      <c r="P37" s="94"/>
      <c r="Q37" s="80"/>
      <c r="R37" s="177"/>
      <c r="S37" s="79"/>
      <c r="T37" s="71"/>
      <c r="U37" s="79"/>
      <c r="V37" s="94"/>
    </row>
    <row r="38" spans="1:22" s="31" customFormat="1" ht="12.75" customHeight="1">
      <c r="A38" s="95" t="s">
        <v>91</v>
      </c>
      <c r="B38" s="25"/>
      <c r="C38" s="91" t="s">
        <v>67</v>
      </c>
      <c r="E38" s="55"/>
      <c r="F38" s="53" t="s">
        <v>14</v>
      </c>
      <c r="G38" s="53"/>
      <c r="H38" s="51" t="s">
        <v>208</v>
      </c>
      <c r="J38" s="181">
        <f>VLOOKUP($A38,Deprlot,6,FALSE)</f>
        <v>35297120.5</v>
      </c>
      <c r="K38" s="180"/>
      <c r="L38" s="181">
        <f>VLOOKUP($A38,Deprlot,7,FALSE)</f>
        <v>8505193</v>
      </c>
      <c r="M38" s="180"/>
      <c r="N38" s="92">
        <f>_xlfn.SUMIFS(Controls!$H:$H,Controls!$A:$A,$A38)</f>
        <v>6671147.714322767</v>
      </c>
      <c r="O38" s="180"/>
      <c r="P38" s="251">
        <f>ROUND(L38-N38,2)</f>
        <v>1834045.29</v>
      </c>
      <c r="Q38" s="80"/>
      <c r="R38" s="173">
        <f>ROUND(P38/L38,4)</f>
        <v>0.2156</v>
      </c>
      <c r="S38" s="79"/>
      <c r="T38" s="71">
        <f>IF(VLOOKUP($A38,Deprlot,11,FALSE)&lt;5,5,VLOOKUP($A38,Deprlot,11,FALSE))</f>
        <v>33.77</v>
      </c>
      <c r="U38" s="7" t="str">
        <f>IF(VLOOKUP($A38,Deprlot,11,FALSE)&lt;5,"b"," ")</f>
        <v> </v>
      </c>
      <c r="V38" s="181">
        <f>ROUND(P38/T38,0)</f>
        <v>54310</v>
      </c>
    </row>
    <row r="39" spans="1:22" s="31" customFormat="1" ht="12.75" customHeight="1">
      <c r="A39" s="25"/>
      <c r="E39" s="55"/>
      <c r="F39" s="53"/>
      <c r="G39" s="53"/>
      <c r="H39" s="51"/>
      <c r="J39" s="182"/>
      <c r="K39" s="182"/>
      <c r="L39" s="182"/>
      <c r="M39" s="182"/>
      <c r="N39" s="212"/>
      <c r="O39" s="182"/>
      <c r="P39" s="182"/>
      <c r="Q39" s="58"/>
      <c r="R39" s="176"/>
      <c r="T39" s="60"/>
      <c r="V39" s="182"/>
    </row>
    <row r="40" spans="5:22" s="55" customFormat="1" ht="12.75" customHeight="1">
      <c r="E40" s="55" t="s">
        <v>211</v>
      </c>
      <c r="F40" s="54"/>
      <c r="G40" s="54"/>
      <c r="J40" s="183">
        <f>SUBTOTAL(9,J32:J38)</f>
        <v>48964086.84</v>
      </c>
      <c r="K40" s="183"/>
      <c r="L40" s="183">
        <f>SUBTOTAL(9,L32:L38)</f>
        <v>15275964</v>
      </c>
      <c r="M40" s="183"/>
      <c r="N40" s="183">
        <f>SUBTOTAL(9,N32:N38)</f>
        <v>10398401.061798811</v>
      </c>
      <c r="O40" s="183"/>
      <c r="P40" s="183">
        <f>SUBTOTAL(9,P32:P38)</f>
        <v>4877562.95</v>
      </c>
      <c r="Q40" s="50"/>
      <c r="R40" s="175">
        <f>ROUND(P40/L40,4)</f>
        <v>0.3193</v>
      </c>
      <c r="T40" s="61"/>
      <c r="V40" s="183">
        <f>SUBTOTAL(9,V32:V38)</f>
        <v>288814</v>
      </c>
    </row>
    <row r="41" spans="5:22" s="31" customFormat="1" ht="12.75" customHeight="1">
      <c r="E41" s="55"/>
      <c r="F41" s="53"/>
      <c r="G41" s="53"/>
      <c r="J41" s="182"/>
      <c r="K41" s="182"/>
      <c r="L41" s="182"/>
      <c r="M41" s="182"/>
      <c r="N41" s="182"/>
      <c r="O41" s="182"/>
      <c r="P41" s="182"/>
      <c r="Q41" s="58"/>
      <c r="R41" s="176"/>
      <c r="T41" s="60"/>
      <c r="V41" s="182"/>
    </row>
    <row r="42" spans="5:22" s="31" customFormat="1" ht="12.75" customHeight="1">
      <c r="E42" s="55" t="s">
        <v>212</v>
      </c>
      <c r="F42" s="53"/>
      <c r="G42" s="53"/>
      <c r="J42" s="182"/>
      <c r="K42" s="182"/>
      <c r="L42" s="182"/>
      <c r="M42" s="182"/>
      <c r="N42" s="182"/>
      <c r="O42" s="182"/>
      <c r="P42" s="182"/>
      <c r="Q42" s="58"/>
      <c r="R42" s="176"/>
      <c r="T42" s="60"/>
      <c r="V42" s="182"/>
    </row>
    <row r="43" spans="1:22" s="31" customFormat="1" ht="12.75" customHeight="1">
      <c r="A43" s="25">
        <v>350.2</v>
      </c>
      <c r="C43" s="163" t="s">
        <v>302</v>
      </c>
      <c r="E43" s="55"/>
      <c r="F43" s="53" t="s">
        <v>213</v>
      </c>
      <c r="G43" s="53"/>
      <c r="H43" s="51" t="s">
        <v>214</v>
      </c>
      <c r="J43" s="182">
        <f aca="true" t="shared" si="0" ref="J43:J48">VLOOKUP($A43,Deprlot,6,FALSE)</f>
        <v>4462984.86</v>
      </c>
      <c r="K43" s="182"/>
      <c r="L43" s="182">
        <f aca="true" t="shared" si="1" ref="L43:L48">VLOOKUP($A43,Deprlot,7,FALSE)</f>
        <v>1066585</v>
      </c>
      <c r="M43" s="182"/>
      <c r="N43" s="92">
        <f>_xlfn.SUMIFS(Controls!$H:$H,Controls!$A:$A,$A43)</f>
        <v>1410493.709508</v>
      </c>
      <c r="O43" s="182"/>
      <c r="P43" s="250">
        <f aca="true" t="shared" si="2" ref="P43:P48">ROUND(L43-N43,2)</f>
        <v>-343908.71</v>
      </c>
      <c r="Q43" s="58"/>
      <c r="R43" s="173">
        <f aca="true" t="shared" si="3" ref="R43:R48">ROUND(P43/L43,4)</f>
        <v>-0.3224</v>
      </c>
      <c r="T43" s="71">
        <f aca="true" t="shared" si="4" ref="T43:T48">IF(VLOOKUP($A43,Deprlot,11,FALSE)&lt;5,5,VLOOKUP($A43,Deprlot,11,FALSE))</f>
        <v>53.22</v>
      </c>
      <c r="U43" s="7" t="str">
        <f aca="true" t="shared" si="5" ref="U43:U48">IF(VLOOKUP($A43,Deprlot,11,FALSE)&lt;5,"b"," ")</f>
        <v> </v>
      </c>
      <c r="V43" s="182">
        <f aca="true" t="shared" si="6" ref="V43:V48">ROUND(P43/T43,0)</f>
        <v>-6462</v>
      </c>
    </row>
    <row r="44" spans="1:22" s="31" customFormat="1" ht="12.75" customHeight="1">
      <c r="A44" s="25">
        <v>353</v>
      </c>
      <c r="C44" s="31">
        <v>1841</v>
      </c>
      <c r="E44" s="55"/>
      <c r="F44" s="53" t="s">
        <v>215</v>
      </c>
      <c r="G44" s="53"/>
      <c r="H44" s="51" t="s">
        <v>216</v>
      </c>
      <c r="J44" s="182">
        <f t="shared" si="0"/>
        <v>50295932.85</v>
      </c>
      <c r="K44" s="182"/>
      <c r="L44" s="182">
        <f t="shared" si="1"/>
        <v>13293620</v>
      </c>
      <c r="M44" s="182"/>
      <c r="N44" s="92">
        <f>_xlfn.SUMIFS(Controls!$H:$H,Controls!$A:$A,$A44)</f>
        <v>17490413.91319441</v>
      </c>
      <c r="O44" s="182"/>
      <c r="P44" s="250">
        <f t="shared" si="2"/>
        <v>-4196793.91</v>
      </c>
      <c r="Q44" s="58"/>
      <c r="R44" s="173">
        <f t="shared" si="3"/>
        <v>-0.3157</v>
      </c>
      <c r="T44" s="71">
        <f t="shared" si="4"/>
        <v>42.76</v>
      </c>
      <c r="U44" s="7" t="str">
        <f t="shared" si="5"/>
        <v> </v>
      </c>
      <c r="V44" s="182">
        <f t="shared" si="6"/>
        <v>-98148</v>
      </c>
    </row>
    <row r="45" spans="1:22" s="31" customFormat="1" ht="12.75" customHeight="1">
      <c r="A45" s="25">
        <v>354</v>
      </c>
      <c r="C45" s="31">
        <v>1847</v>
      </c>
      <c r="E45" s="55"/>
      <c r="F45" s="53" t="s">
        <v>16</v>
      </c>
      <c r="G45" s="53"/>
      <c r="H45" s="51" t="s">
        <v>217</v>
      </c>
      <c r="J45" s="182">
        <f t="shared" si="0"/>
        <v>878834.26</v>
      </c>
      <c r="K45" s="182"/>
      <c r="L45" s="182">
        <f t="shared" si="1"/>
        <v>642774</v>
      </c>
      <c r="M45" s="182"/>
      <c r="N45" s="92">
        <f>_xlfn.SUMIFS(Controls!$H:$H,Controls!$A:$A,$A45)</f>
        <v>727879.0599927916</v>
      </c>
      <c r="O45" s="182"/>
      <c r="P45" s="250">
        <f t="shared" si="2"/>
        <v>-85105.06</v>
      </c>
      <c r="Q45" s="58"/>
      <c r="R45" s="173">
        <f t="shared" si="3"/>
        <v>-0.1324</v>
      </c>
      <c r="T45" s="71">
        <f t="shared" si="4"/>
        <v>23.38</v>
      </c>
      <c r="U45" s="7" t="str">
        <f t="shared" si="5"/>
        <v> </v>
      </c>
      <c r="V45" s="182">
        <f t="shared" si="6"/>
        <v>-3640</v>
      </c>
    </row>
    <row r="46" spans="1:22" s="31" customFormat="1" ht="12.75" customHeight="1">
      <c r="A46" s="25">
        <v>355</v>
      </c>
      <c r="C46" s="89">
        <v>1849</v>
      </c>
      <c r="E46" s="55"/>
      <c r="F46" s="53" t="s">
        <v>17</v>
      </c>
      <c r="G46" s="53"/>
      <c r="H46" s="51" t="s">
        <v>218</v>
      </c>
      <c r="J46" s="182">
        <f t="shared" si="0"/>
        <v>22861633.71</v>
      </c>
      <c r="K46" s="182"/>
      <c r="L46" s="182">
        <f t="shared" si="1"/>
        <v>8531641</v>
      </c>
      <c r="M46" s="182"/>
      <c r="N46" s="92">
        <f>_xlfn.SUMIFS(Controls!$H:$H,Controls!$A:$A,$A46)</f>
        <v>6574086.283361013</v>
      </c>
      <c r="O46" s="182"/>
      <c r="P46" s="250">
        <f t="shared" si="2"/>
        <v>1957554.72</v>
      </c>
      <c r="Q46" s="58"/>
      <c r="R46" s="173">
        <f t="shared" si="3"/>
        <v>0.2294</v>
      </c>
      <c r="T46" s="71">
        <f t="shared" si="4"/>
        <v>40.65</v>
      </c>
      <c r="U46" s="7" t="str">
        <f t="shared" si="5"/>
        <v> </v>
      </c>
      <c r="V46" s="182">
        <f t="shared" si="6"/>
        <v>48156</v>
      </c>
    </row>
    <row r="47" spans="1:22" s="31" customFormat="1" ht="12.75" customHeight="1">
      <c r="A47" s="25">
        <v>356</v>
      </c>
      <c r="C47" s="89">
        <v>1848</v>
      </c>
      <c r="E47" s="55"/>
      <c r="F47" s="53" t="s">
        <v>18</v>
      </c>
      <c r="G47" s="53"/>
      <c r="H47" s="51" t="s">
        <v>219</v>
      </c>
      <c r="J47" s="182">
        <f t="shared" si="0"/>
        <v>45621954.93</v>
      </c>
      <c r="K47" s="182"/>
      <c r="L47" s="182">
        <f t="shared" si="1"/>
        <v>13823101</v>
      </c>
      <c r="M47" s="182"/>
      <c r="N47" s="92">
        <f>_xlfn.SUMIFS(Controls!$H:$H,Controls!$A:$A,$A47)</f>
        <v>13281996.021259645</v>
      </c>
      <c r="O47" s="182"/>
      <c r="P47" s="250">
        <f t="shared" si="2"/>
        <v>541104.98</v>
      </c>
      <c r="Q47" s="58"/>
      <c r="R47" s="173">
        <f t="shared" si="3"/>
        <v>0.0391</v>
      </c>
      <c r="T47" s="71">
        <f t="shared" si="4"/>
        <v>49.21</v>
      </c>
      <c r="U47" s="7" t="str">
        <f t="shared" si="5"/>
        <v> </v>
      </c>
      <c r="V47" s="182">
        <f t="shared" si="6"/>
        <v>10996</v>
      </c>
    </row>
    <row r="48" spans="1:22" s="31" customFormat="1" ht="12.75" customHeight="1">
      <c r="A48" s="25">
        <v>359</v>
      </c>
      <c r="C48" s="89">
        <v>1846</v>
      </c>
      <c r="E48" s="55"/>
      <c r="F48" s="53" t="s">
        <v>220</v>
      </c>
      <c r="G48" s="53"/>
      <c r="H48" s="51" t="s">
        <v>221</v>
      </c>
      <c r="J48" s="184">
        <f t="shared" si="0"/>
        <v>73263</v>
      </c>
      <c r="K48" s="182"/>
      <c r="L48" s="184">
        <f t="shared" si="1"/>
        <v>12411</v>
      </c>
      <c r="M48" s="182"/>
      <c r="N48" s="92">
        <f>_xlfn.SUMIFS(Controls!$H:$H,Controls!$A:$A,$A48)</f>
        <v>13866.619702557844</v>
      </c>
      <c r="O48" s="182"/>
      <c r="P48" s="251">
        <f t="shared" si="2"/>
        <v>-1455.62</v>
      </c>
      <c r="Q48" s="58"/>
      <c r="R48" s="173">
        <f t="shared" si="3"/>
        <v>-0.1173</v>
      </c>
      <c r="T48" s="71">
        <f t="shared" si="4"/>
        <v>41.53</v>
      </c>
      <c r="U48" s="7" t="str">
        <f t="shared" si="5"/>
        <v> </v>
      </c>
      <c r="V48" s="184">
        <f t="shared" si="6"/>
        <v>-35</v>
      </c>
    </row>
    <row r="49" spans="5:23" s="31" customFormat="1" ht="12.75" customHeight="1">
      <c r="E49" s="55" t="s">
        <v>222</v>
      </c>
      <c r="F49" s="55"/>
      <c r="G49" s="54"/>
      <c r="H49" s="55"/>
      <c r="I49" s="55"/>
      <c r="J49" s="183">
        <f>SUBTOTAL(9,J43:J48)</f>
        <v>124194603.61000001</v>
      </c>
      <c r="K49" s="183"/>
      <c r="L49" s="183">
        <f>SUBTOTAL(9,L43:L48)</f>
        <v>37370132</v>
      </c>
      <c r="M49" s="183"/>
      <c r="N49" s="211">
        <f>SUBTOTAL(9,N43:N48)</f>
        <v>39498735.60701842</v>
      </c>
      <c r="O49" s="183"/>
      <c r="P49" s="183">
        <f>SUBTOTAL(9,P43:P48)</f>
        <v>-2128603.6</v>
      </c>
      <c r="Q49" s="50"/>
      <c r="R49" s="175">
        <f>ROUND(P49/L49,4)</f>
        <v>-0.057</v>
      </c>
      <c r="S49" s="55"/>
      <c r="T49" s="61"/>
      <c r="U49" s="55"/>
      <c r="V49" s="183">
        <f>SUBTOTAL(9,V43:V48)</f>
        <v>-49133</v>
      </c>
      <c r="W49" s="55"/>
    </row>
    <row r="50" spans="5:22" s="31" customFormat="1" ht="12.75">
      <c r="E50" s="55"/>
      <c r="F50" s="53"/>
      <c r="G50" s="53"/>
      <c r="J50" s="182"/>
      <c r="K50" s="182"/>
      <c r="L50" s="182"/>
      <c r="M50" s="182"/>
      <c r="N50" s="182"/>
      <c r="O50" s="182"/>
      <c r="P50" s="182"/>
      <c r="Q50" s="58"/>
      <c r="R50" s="176"/>
      <c r="T50" s="60"/>
      <c r="V50" s="182"/>
    </row>
    <row r="51" spans="1:22" s="31" customFormat="1" ht="12.75" customHeight="1">
      <c r="A51" s="25"/>
      <c r="E51" s="54" t="s">
        <v>223</v>
      </c>
      <c r="G51" s="53"/>
      <c r="J51" s="182"/>
      <c r="K51" s="182"/>
      <c r="L51" s="182"/>
      <c r="M51" s="182"/>
      <c r="N51" s="182"/>
      <c r="O51" s="182"/>
      <c r="P51" s="182"/>
      <c r="Q51" s="58"/>
      <c r="R51" s="176"/>
      <c r="T51" s="60"/>
      <c r="V51" s="182"/>
    </row>
    <row r="52" spans="1:22" s="31" customFormat="1" ht="12.75" customHeight="1">
      <c r="A52" s="25">
        <v>360.2</v>
      </c>
      <c r="C52" s="163" t="s">
        <v>301</v>
      </c>
      <c r="E52" s="55"/>
      <c r="F52" s="53" t="s">
        <v>224</v>
      </c>
      <c r="G52" s="53"/>
      <c r="H52" s="51" t="s">
        <v>225</v>
      </c>
      <c r="J52" s="182">
        <f aca="true" t="shared" si="7" ref="J52:J64">VLOOKUP($A52,Deprlot,6,FALSE)</f>
        <v>282000</v>
      </c>
      <c r="K52" s="182"/>
      <c r="L52" s="182">
        <f aca="true" t="shared" si="8" ref="L52:L64">VLOOKUP($A52,Deprlot,7,FALSE)</f>
        <v>56490</v>
      </c>
      <c r="M52" s="182"/>
      <c r="N52" s="92">
        <f>_xlfn.SUMIFS(Controls!$H:$H,Controls!$A:$A,$A52)</f>
        <v>62209.2</v>
      </c>
      <c r="O52" s="182"/>
      <c r="P52" s="250">
        <f>ROUND(L52-N52,2)</f>
        <v>-5719.2</v>
      </c>
      <c r="Q52" s="58"/>
      <c r="R52" s="173">
        <f>ROUND(P52/L52,4)</f>
        <v>-0.1012</v>
      </c>
      <c r="S52" s="82"/>
      <c r="T52" s="71">
        <f aca="true" t="shared" si="9" ref="T52:T64">IF(VLOOKUP($A52,Deprlot,11,FALSE)&lt;5,5,VLOOKUP($A52,Deprlot,11,FALSE))</f>
        <v>55.92</v>
      </c>
      <c r="U52" s="7" t="str">
        <f aca="true" t="shared" si="10" ref="U52:U64">IF(VLOOKUP($A52,Deprlot,11,FALSE)&lt;5,"b"," ")</f>
        <v> </v>
      </c>
      <c r="V52" s="182">
        <f>ROUND(P52/T52,0)</f>
        <v>-102</v>
      </c>
    </row>
    <row r="53" spans="1:22" s="31" customFormat="1" ht="12.75" customHeight="1">
      <c r="A53" s="25">
        <v>362</v>
      </c>
      <c r="C53" s="31">
        <v>1741</v>
      </c>
      <c r="E53" s="55"/>
      <c r="F53" s="53" t="s">
        <v>19</v>
      </c>
      <c r="G53" s="53"/>
      <c r="H53" s="51" t="s">
        <v>226</v>
      </c>
      <c r="J53" s="182">
        <f t="shared" si="7"/>
        <v>3289858.8</v>
      </c>
      <c r="K53" s="182"/>
      <c r="L53" s="182">
        <f t="shared" si="8"/>
        <v>1021848</v>
      </c>
      <c r="M53" s="182"/>
      <c r="N53" s="92">
        <f>_xlfn.SUMIFS(Controls!$H:$H,Controls!$A:$A,$A53)</f>
        <v>778875.8129957108</v>
      </c>
      <c r="O53" s="182"/>
      <c r="P53" s="250">
        <f aca="true" t="shared" si="11" ref="P53:P64">ROUND(L53-N53,2)</f>
        <v>242972.19</v>
      </c>
      <c r="Q53" s="58"/>
      <c r="R53" s="173">
        <f aca="true" t="shared" si="12" ref="R53:R64">ROUND(P53/L53,4)</f>
        <v>0.2378</v>
      </c>
      <c r="S53" s="82"/>
      <c r="T53" s="71">
        <f t="shared" si="9"/>
        <v>33.06</v>
      </c>
      <c r="U53" s="7" t="str">
        <f t="shared" si="10"/>
        <v> </v>
      </c>
      <c r="V53" s="182">
        <f aca="true" t="shared" si="13" ref="V53:V64">ROUND(P53/T53,0)</f>
        <v>7349</v>
      </c>
    </row>
    <row r="54" spans="1:22" s="31" customFormat="1" ht="12.75" customHeight="1">
      <c r="A54" s="25">
        <v>364</v>
      </c>
      <c r="C54" s="31">
        <v>1749</v>
      </c>
      <c r="E54" s="55"/>
      <c r="F54" s="53" t="s">
        <v>20</v>
      </c>
      <c r="G54" s="53"/>
      <c r="H54" s="51" t="s">
        <v>227</v>
      </c>
      <c r="J54" s="182">
        <f t="shared" si="7"/>
        <v>75601860.44</v>
      </c>
      <c r="K54" s="182"/>
      <c r="L54" s="182">
        <f t="shared" si="8"/>
        <v>29150175</v>
      </c>
      <c r="M54" s="182"/>
      <c r="N54" s="92">
        <f>_xlfn.SUMIFS(Controls!$H:$H,Controls!$A:$A,$A54)</f>
        <v>32224334.203374095</v>
      </c>
      <c r="O54" s="182"/>
      <c r="P54" s="250">
        <f t="shared" si="11"/>
        <v>-3074159.2</v>
      </c>
      <c r="Q54" s="58"/>
      <c r="R54" s="173">
        <f t="shared" si="12"/>
        <v>-0.1055</v>
      </c>
      <c r="S54" s="82"/>
      <c r="T54" s="71">
        <f t="shared" si="9"/>
        <v>35.63</v>
      </c>
      <c r="U54" s="7" t="str">
        <f t="shared" si="10"/>
        <v> </v>
      </c>
      <c r="V54" s="182">
        <f t="shared" si="13"/>
        <v>-86280</v>
      </c>
    </row>
    <row r="55" spans="1:22" s="31" customFormat="1" ht="12.75" customHeight="1">
      <c r="A55" s="25">
        <v>365</v>
      </c>
      <c r="C55" s="88" t="s">
        <v>64</v>
      </c>
      <c r="E55" s="55"/>
      <c r="F55" s="53" t="s">
        <v>21</v>
      </c>
      <c r="G55" s="53"/>
      <c r="H55" s="51" t="s">
        <v>219</v>
      </c>
      <c r="J55" s="182">
        <f t="shared" si="7"/>
        <v>93875165.89</v>
      </c>
      <c r="K55" s="182"/>
      <c r="L55" s="182">
        <f t="shared" si="8"/>
        <v>31574543</v>
      </c>
      <c r="M55" s="182"/>
      <c r="N55" s="92">
        <f>_xlfn.SUMIFS(Controls!$H:$H,Controls!$A:$A,$A55)</f>
        <v>27300128.918095987</v>
      </c>
      <c r="O55" s="182"/>
      <c r="P55" s="250">
        <f t="shared" si="11"/>
        <v>4274414.08</v>
      </c>
      <c r="Q55" s="58"/>
      <c r="R55" s="173">
        <f t="shared" si="12"/>
        <v>0.1354</v>
      </c>
      <c r="S55" s="82"/>
      <c r="T55" s="71">
        <f t="shared" si="9"/>
        <v>41.13</v>
      </c>
      <c r="U55" s="7" t="str">
        <f t="shared" si="10"/>
        <v> </v>
      </c>
      <c r="V55" s="182">
        <f t="shared" si="13"/>
        <v>103924</v>
      </c>
    </row>
    <row r="56" spans="1:22" s="31" customFormat="1" ht="12.75" customHeight="1">
      <c r="A56" s="25">
        <v>367</v>
      </c>
      <c r="C56" s="89">
        <v>1755</v>
      </c>
      <c r="E56" s="55"/>
      <c r="F56" s="53" t="s">
        <v>22</v>
      </c>
      <c r="G56" s="53"/>
      <c r="H56" s="51" t="s">
        <v>228</v>
      </c>
      <c r="J56" s="182">
        <f t="shared" si="7"/>
        <v>3097193.94</v>
      </c>
      <c r="K56" s="182"/>
      <c r="L56" s="182">
        <f t="shared" si="8"/>
        <v>1238516</v>
      </c>
      <c r="M56" s="182"/>
      <c r="N56" s="92">
        <f>_xlfn.SUMIFS(Controls!$H:$H,Controls!$A:$A,$A56)</f>
        <v>1339415.6818252858</v>
      </c>
      <c r="O56" s="182"/>
      <c r="P56" s="250">
        <f t="shared" si="11"/>
        <v>-100899.68</v>
      </c>
      <c r="Q56" s="58"/>
      <c r="R56" s="173">
        <f t="shared" si="12"/>
        <v>-0.0815</v>
      </c>
      <c r="S56" s="82"/>
      <c r="T56" s="71">
        <f t="shared" si="9"/>
        <v>31.82</v>
      </c>
      <c r="U56" s="7" t="str">
        <f t="shared" si="10"/>
        <v> </v>
      </c>
      <c r="V56" s="182">
        <f t="shared" si="13"/>
        <v>-3171</v>
      </c>
    </row>
    <row r="57" spans="1:22" s="31" customFormat="1" ht="12.75" customHeight="1">
      <c r="A57" s="25">
        <v>368.1</v>
      </c>
      <c r="C57" s="89">
        <v>1751</v>
      </c>
      <c r="E57" s="55"/>
      <c r="F57" s="53" t="s">
        <v>229</v>
      </c>
      <c r="G57" s="53"/>
      <c r="H57" s="51" t="s">
        <v>230</v>
      </c>
      <c r="J57" s="182">
        <f t="shared" si="7"/>
        <v>69024149.65</v>
      </c>
      <c r="K57" s="182"/>
      <c r="L57" s="182">
        <f t="shared" si="8"/>
        <v>26297861</v>
      </c>
      <c r="M57" s="182"/>
      <c r="N57" s="92">
        <f>_xlfn.SUMIFS(Controls!$H:$H,Controls!$A:$A,$A57)</f>
        <v>16616503.653194483</v>
      </c>
      <c r="O57" s="182"/>
      <c r="P57" s="250">
        <f t="shared" si="11"/>
        <v>9681357.35</v>
      </c>
      <c r="Q57" s="58"/>
      <c r="R57" s="173">
        <f t="shared" si="12"/>
        <v>0.3681</v>
      </c>
      <c r="S57" s="82"/>
      <c r="T57" s="71">
        <f t="shared" si="9"/>
        <v>23.21</v>
      </c>
      <c r="U57" s="7" t="str">
        <f t="shared" si="10"/>
        <v> </v>
      </c>
      <c r="V57" s="182">
        <f t="shared" si="13"/>
        <v>417120</v>
      </c>
    </row>
    <row r="58" spans="1:22" s="31" customFormat="1" ht="12.75" customHeight="1">
      <c r="A58" s="25">
        <v>368.2</v>
      </c>
      <c r="C58" s="89">
        <v>1752</v>
      </c>
      <c r="E58" s="55"/>
      <c r="F58" s="53" t="s">
        <v>231</v>
      </c>
      <c r="G58" s="53"/>
      <c r="H58" s="51" t="s">
        <v>232</v>
      </c>
      <c r="J58" s="182">
        <f t="shared" si="7"/>
        <v>12591273.83</v>
      </c>
      <c r="K58" s="182"/>
      <c r="L58" s="182">
        <f t="shared" si="8"/>
        <v>3802327</v>
      </c>
      <c r="M58" s="182"/>
      <c r="N58" s="92">
        <f>_xlfn.SUMIFS(Controls!$H:$H,Controls!$A:$A,$A58)</f>
        <v>2136491.9286919106</v>
      </c>
      <c r="O58" s="182"/>
      <c r="P58" s="250">
        <f t="shared" si="11"/>
        <v>1665835.07</v>
      </c>
      <c r="Q58" s="58"/>
      <c r="R58" s="173">
        <f t="shared" si="12"/>
        <v>0.4381</v>
      </c>
      <c r="S58" s="82"/>
      <c r="T58" s="71">
        <f t="shared" si="9"/>
        <v>25.45</v>
      </c>
      <c r="U58" s="7" t="str">
        <f t="shared" si="10"/>
        <v> </v>
      </c>
      <c r="V58" s="182">
        <f t="shared" si="13"/>
        <v>65455</v>
      </c>
    </row>
    <row r="59" spans="1:22" s="31" customFormat="1" ht="12.75" customHeight="1">
      <c r="A59" s="25">
        <v>369.01</v>
      </c>
      <c r="C59" s="89">
        <v>1753</v>
      </c>
      <c r="E59" s="55"/>
      <c r="F59" s="53" t="s">
        <v>233</v>
      </c>
      <c r="G59" s="53"/>
      <c r="H59" s="51" t="s">
        <v>234</v>
      </c>
      <c r="J59" s="182">
        <f t="shared" si="7"/>
        <v>67238249.06</v>
      </c>
      <c r="K59" s="182"/>
      <c r="L59" s="182">
        <f t="shared" si="8"/>
        <v>33734931</v>
      </c>
      <c r="M59" s="182"/>
      <c r="N59" s="92">
        <f>_xlfn.SUMIFS(Controls!$H:$H,Controls!$A:$A,$A59)</f>
        <v>30225357.444867756</v>
      </c>
      <c r="O59" s="182"/>
      <c r="P59" s="250">
        <f t="shared" si="11"/>
        <v>3509573.56</v>
      </c>
      <c r="Q59" s="58"/>
      <c r="R59" s="173">
        <f t="shared" si="12"/>
        <v>0.104</v>
      </c>
      <c r="S59" s="82"/>
      <c r="T59" s="71">
        <f t="shared" si="9"/>
        <v>31.63</v>
      </c>
      <c r="U59" s="7" t="str">
        <f t="shared" si="10"/>
        <v> </v>
      </c>
      <c r="V59" s="182">
        <f t="shared" si="13"/>
        <v>110957</v>
      </c>
    </row>
    <row r="60" spans="1:22" s="31" customFormat="1" ht="12.75" customHeight="1">
      <c r="A60" s="25">
        <v>369.02</v>
      </c>
      <c r="C60" s="89">
        <v>1756</v>
      </c>
      <c r="E60" s="55"/>
      <c r="F60" s="53" t="s">
        <v>235</v>
      </c>
      <c r="G60" s="53"/>
      <c r="H60" s="51" t="s">
        <v>236</v>
      </c>
      <c r="J60" s="182">
        <f t="shared" si="7"/>
        <v>2076694.98</v>
      </c>
      <c r="K60" s="182"/>
      <c r="L60" s="182">
        <f t="shared" si="8"/>
        <v>1021271</v>
      </c>
      <c r="M60" s="182"/>
      <c r="N60" s="92">
        <f>_xlfn.SUMIFS(Controls!$H:$H,Controls!$A:$A,$A60)</f>
        <v>1033873.2486235269</v>
      </c>
      <c r="O60" s="182"/>
      <c r="P60" s="250">
        <f t="shared" si="11"/>
        <v>-12602.25</v>
      </c>
      <c r="Q60" s="58"/>
      <c r="R60" s="173">
        <f t="shared" si="12"/>
        <v>-0.0123</v>
      </c>
      <c r="S60" s="82"/>
      <c r="T60" s="71">
        <f t="shared" si="9"/>
        <v>24.91</v>
      </c>
      <c r="U60" s="7" t="str">
        <f t="shared" si="10"/>
        <v> </v>
      </c>
      <c r="V60" s="182">
        <f t="shared" si="13"/>
        <v>-506</v>
      </c>
    </row>
    <row r="61" spans="1:23" s="55" customFormat="1" ht="12.75" customHeight="1">
      <c r="A61" s="25">
        <v>370.1</v>
      </c>
      <c r="C61" s="51">
        <v>1758</v>
      </c>
      <c r="F61" s="53" t="s">
        <v>237</v>
      </c>
      <c r="G61" s="53"/>
      <c r="H61" s="51" t="s">
        <v>238</v>
      </c>
      <c r="I61" s="31"/>
      <c r="J61" s="182">
        <f t="shared" si="7"/>
        <v>14245974.39</v>
      </c>
      <c r="K61" s="182"/>
      <c r="L61" s="182">
        <f t="shared" si="8"/>
        <v>6207289</v>
      </c>
      <c r="M61" s="182"/>
      <c r="N61" s="92">
        <f>_xlfn.SUMIFS(Controls!$H:$H,Controls!$A:$A,$A61)</f>
        <v>1555740.9153189438</v>
      </c>
      <c r="O61" s="182"/>
      <c r="P61" s="250">
        <f t="shared" si="11"/>
        <v>4651548.08</v>
      </c>
      <c r="Q61" s="58"/>
      <c r="R61" s="173">
        <f t="shared" si="12"/>
        <v>0.7494</v>
      </c>
      <c r="S61" s="82"/>
      <c r="T61" s="71">
        <f t="shared" si="9"/>
        <v>12.03</v>
      </c>
      <c r="U61" s="7" t="str">
        <f t="shared" si="10"/>
        <v> </v>
      </c>
      <c r="V61" s="182">
        <f t="shared" si="13"/>
        <v>386662</v>
      </c>
      <c r="W61" s="31"/>
    </row>
    <row r="62" spans="1:22" s="31" customFormat="1" ht="12.75" customHeight="1">
      <c r="A62" s="25">
        <v>370.2</v>
      </c>
      <c r="C62" s="90">
        <v>1759</v>
      </c>
      <c r="E62" s="55"/>
      <c r="F62" s="53" t="s">
        <v>239</v>
      </c>
      <c r="G62" s="53"/>
      <c r="H62" s="51" t="s">
        <v>240</v>
      </c>
      <c r="J62" s="182">
        <f t="shared" si="7"/>
        <v>651341.47</v>
      </c>
      <c r="K62" s="182"/>
      <c r="L62" s="182">
        <f t="shared" si="8"/>
        <v>72818</v>
      </c>
      <c r="M62" s="182"/>
      <c r="N62" s="92">
        <f>_xlfn.SUMIFS(Controls!$H:$H,Controls!$A:$A,$A62)</f>
        <v>-1216850.9125229986</v>
      </c>
      <c r="O62" s="182"/>
      <c r="P62" s="250">
        <f t="shared" si="11"/>
        <v>1289668.91</v>
      </c>
      <c r="Q62" s="58"/>
      <c r="R62" s="173">
        <f t="shared" si="12"/>
        <v>17.7109</v>
      </c>
      <c r="S62" s="82"/>
      <c r="T62" s="71">
        <f t="shared" si="9"/>
        <v>26.67</v>
      </c>
      <c r="U62" s="7" t="str">
        <f t="shared" si="10"/>
        <v> </v>
      </c>
      <c r="V62" s="182">
        <f t="shared" si="13"/>
        <v>48357</v>
      </c>
    </row>
    <row r="63" spans="1:22" s="31" customFormat="1" ht="12.75" customHeight="1">
      <c r="A63" s="25">
        <v>373</v>
      </c>
      <c r="C63" s="90">
        <v>1754</v>
      </c>
      <c r="E63" s="55"/>
      <c r="F63" s="53" t="s">
        <v>241</v>
      </c>
      <c r="G63" s="53"/>
      <c r="H63" s="51" t="s">
        <v>242</v>
      </c>
      <c r="J63" s="182">
        <f t="shared" si="7"/>
        <v>6053458.58</v>
      </c>
      <c r="K63" s="182"/>
      <c r="L63" s="182">
        <f t="shared" si="8"/>
        <v>2324282</v>
      </c>
      <c r="M63" s="182"/>
      <c r="N63" s="92">
        <f>_xlfn.SUMIFS(Controls!$H:$H,Controls!$A:$A,$A63)</f>
        <v>1484640.6574614488</v>
      </c>
      <c r="O63" s="182"/>
      <c r="P63" s="250">
        <f t="shared" si="11"/>
        <v>839641.34</v>
      </c>
      <c r="Q63" s="58"/>
      <c r="R63" s="173">
        <f t="shared" si="12"/>
        <v>0.3612</v>
      </c>
      <c r="S63" s="82"/>
      <c r="T63" s="71">
        <f t="shared" si="9"/>
        <v>18.73</v>
      </c>
      <c r="U63" s="7" t="str">
        <f t="shared" si="10"/>
        <v> </v>
      </c>
      <c r="V63" s="182">
        <f t="shared" si="13"/>
        <v>44829</v>
      </c>
    </row>
    <row r="64" spans="1:22" s="31" customFormat="1" ht="12.75" customHeight="1">
      <c r="A64" s="25">
        <v>373.2</v>
      </c>
      <c r="C64" s="90">
        <v>1757</v>
      </c>
      <c r="E64" s="55"/>
      <c r="F64" s="53" t="s">
        <v>23</v>
      </c>
      <c r="G64" s="53"/>
      <c r="H64" s="51" t="s">
        <v>243</v>
      </c>
      <c r="J64" s="184">
        <f t="shared" si="7"/>
        <v>653788.61</v>
      </c>
      <c r="K64" s="182"/>
      <c r="L64" s="184">
        <f t="shared" si="8"/>
        <v>551668</v>
      </c>
      <c r="M64" s="182"/>
      <c r="N64" s="92">
        <f>_xlfn.SUMIFS(Controls!$H:$H,Controls!$A:$A,$A64)</f>
        <v>582595.6525770167</v>
      </c>
      <c r="O64" s="182"/>
      <c r="P64" s="251">
        <f t="shared" si="11"/>
        <v>-30927.65</v>
      </c>
      <c r="Q64" s="58"/>
      <c r="R64" s="173">
        <f t="shared" si="12"/>
        <v>-0.0561</v>
      </c>
      <c r="S64" s="82"/>
      <c r="T64" s="71">
        <f t="shared" si="9"/>
        <v>6.29</v>
      </c>
      <c r="U64" s="7" t="str">
        <f t="shared" si="10"/>
        <v> </v>
      </c>
      <c r="V64" s="184">
        <f t="shared" si="13"/>
        <v>-4917</v>
      </c>
    </row>
    <row r="65" spans="5:23" s="31" customFormat="1" ht="12.75">
      <c r="E65" s="55" t="s">
        <v>244</v>
      </c>
      <c r="F65" s="54"/>
      <c r="G65" s="54"/>
      <c r="H65" s="55"/>
      <c r="I65" s="55"/>
      <c r="J65" s="183">
        <f>SUBTOTAL(9,J52:J64)</f>
        <v>348681009.64000005</v>
      </c>
      <c r="K65" s="183"/>
      <c r="L65" s="183">
        <f>SUBTOTAL(9,L52:L64)</f>
        <v>137054019</v>
      </c>
      <c r="M65" s="183"/>
      <c r="N65" s="211">
        <f>SUBTOTAL(9,N52:N64)</f>
        <v>114123316.40450317</v>
      </c>
      <c r="O65" s="183"/>
      <c r="P65" s="183">
        <f>SUBTOTAL(9,P52:P64)</f>
        <v>22930702.6</v>
      </c>
      <c r="Q65" s="50"/>
      <c r="R65" s="175">
        <f>ROUND(P65/L65,4)</f>
        <v>0.1673</v>
      </c>
      <c r="S65" s="55"/>
      <c r="T65" s="61"/>
      <c r="U65" s="55"/>
      <c r="V65" s="183">
        <f>SUBTOTAL(9,V52:V64)</f>
        <v>1089677</v>
      </c>
      <c r="W65" s="55"/>
    </row>
    <row r="66" spans="5:22" s="31" customFormat="1" ht="12.75">
      <c r="E66" s="55"/>
      <c r="F66" s="53"/>
      <c r="G66" s="53"/>
      <c r="J66" s="182"/>
      <c r="K66" s="182"/>
      <c r="L66" s="182"/>
      <c r="M66" s="182"/>
      <c r="N66" s="182"/>
      <c r="O66" s="182"/>
      <c r="P66" s="182"/>
      <c r="Q66" s="58"/>
      <c r="R66" s="176"/>
      <c r="T66" s="60"/>
      <c r="V66" s="182"/>
    </row>
    <row r="67" spans="1:22" s="31" customFormat="1" ht="12.75" customHeight="1">
      <c r="A67" s="25"/>
      <c r="E67" s="55" t="s">
        <v>245</v>
      </c>
      <c r="F67" s="53"/>
      <c r="G67" s="53"/>
      <c r="J67" s="182"/>
      <c r="K67" s="182"/>
      <c r="L67" s="182"/>
      <c r="M67" s="182"/>
      <c r="N67" s="182"/>
      <c r="O67" s="182"/>
      <c r="P67" s="182"/>
      <c r="Q67" s="58"/>
      <c r="R67" s="176"/>
      <c r="T67" s="60"/>
      <c r="V67" s="182"/>
    </row>
    <row r="68" spans="1:22" s="31" customFormat="1" ht="12.75" customHeight="1">
      <c r="A68" s="25">
        <v>390</v>
      </c>
      <c r="C68" s="31">
        <v>1379</v>
      </c>
      <c r="E68" s="55"/>
      <c r="F68" s="53" t="s">
        <v>24</v>
      </c>
      <c r="G68" s="53"/>
      <c r="H68" s="131" t="s">
        <v>282</v>
      </c>
      <c r="J68" s="182">
        <f>VLOOKUP($A68,Deprlot,6,FALSE)</f>
        <v>903406.39</v>
      </c>
      <c r="K68" s="182"/>
      <c r="L68" s="182">
        <f>VLOOKUP($A68,Deprlot,7,FALSE)</f>
        <v>436181</v>
      </c>
      <c r="M68" s="182"/>
      <c r="N68" s="92">
        <f>_xlfn.SUMIFS(Controls!$H:$H,Controls!$A:$A,$A68)</f>
        <v>420756.71504652133</v>
      </c>
      <c r="O68" s="182"/>
      <c r="P68" s="250">
        <f aca="true" t="shared" si="14" ref="P68:P77">ROUND(L68-N68,2)</f>
        <v>15424.28</v>
      </c>
      <c r="Q68" s="58"/>
      <c r="R68" s="173">
        <f aca="true" t="shared" si="15" ref="R68:R77">ROUND(P68/L68,4)</f>
        <v>0.0354</v>
      </c>
      <c r="S68" s="82"/>
      <c r="T68" s="71">
        <f aca="true" t="shared" si="16" ref="T68:T77">IF(VLOOKUP($A68,Deprlot,11,FALSE)&lt;5,5,VLOOKUP($A68,Deprlot,11,FALSE))</f>
        <v>20.69</v>
      </c>
      <c r="U68" s="7" t="str">
        <f aca="true" t="shared" si="17" ref="U68:U77">IF(VLOOKUP($A68,Deprlot,11,FALSE)&lt;5,"b"," ")</f>
        <v> </v>
      </c>
      <c r="V68" s="182">
        <f aca="true" t="shared" si="18" ref="V68:V77">ROUND(P68/T68,0)</f>
        <v>745</v>
      </c>
    </row>
    <row r="69" spans="1:22" s="31" customFormat="1" ht="12.75" customHeight="1">
      <c r="A69" s="25">
        <v>390.11</v>
      </c>
      <c r="C69" s="31">
        <v>1778</v>
      </c>
      <c r="E69" s="55"/>
      <c r="F69" s="53" t="s">
        <v>246</v>
      </c>
      <c r="G69" s="53"/>
      <c r="H69" s="51" t="s">
        <v>247</v>
      </c>
      <c r="J69" s="182">
        <f>VLOOKUP($A69,Deprlot,6,FALSE)</f>
        <v>4981389.66</v>
      </c>
      <c r="K69" s="182"/>
      <c r="L69" s="182">
        <f>VLOOKUP($A69,Deprlot,7,FALSE)</f>
        <v>1899606</v>
      </c>
      <c r="M69" s="182"/>
      <c r="N69" s="92">
        <f>_xlfn.SUMIFS(Controls!$H:$H,Controls!$A:$A,$A69)</f>
        <v>2214717.9284162596</v>
      </c>
      <c r="O69" s="182"/>
      <c r="P69" s="250">
        <f t="shared" si="14"/>
        <v>-315111.93</v>
      </c>
      <c r="Q69" s="58"/>
      <c r="R69" s="173">
        <f t="shared" si="15"/>
        <v>-0.1659</v>
      </c>
      <c r="S69" s="82"/>
      <c r="T69" s="71">
        <f t="shared" si="16"/>
        <v>24.75</v>
      </c>
      <c r="U69" s="7" t="str">
        <f t="shared" si="17"/>
        <v> </v>
      </c>
      <c r="V69" s="182">
        <f t="shared" si="18"/>
        <v>-12732</v>
      </c>
    </row>
    <row r="70" spans="1:22" s="31" customFormat="1" ht="12.75" customHeight="1">
      <c r="A70" s="25">
        <v>390.12</v>
      </c>
      <c r="C70" s="31">
        <v>1779</v>
      </c>
      <c r="E70" s="55"/>
      <c r="F70" s="53" t="s">
        <v>248</v>
      </c>
      <c r="G70" s="53"/>
      <c r="H70" s="51" t="s">
        <v>249</v>
      </c>
      <c r="J70" s="182">
        <f>VLOOKUP($A70,Deprlot,6,FALSE)</f>
        <v>6358301.06</v>
      </c>
      <c r="K70" s="182"/>
      <c r="L70" s="182">
        <f>VLOOKUP($A70,Deprlot,7,FALSE)</f>
        <v>2271342</v>
      </c>
      <c r="M70" s="182"/>
      <c r="N70" s="92">
        <f>_xlfn.SUMIFS(Controls!$H:$H,Controls!$A:$A,$A70)</f>
        <v>2537901.1735130553</v>
      </c>
      <c r="O70" s="182"/>
      <c r="P70" s="250">
        <f t="shared" si="14"/>
        <v>-266559.17</v>
      </c>
      <c r="Q70" s="58"/>
      <c r="R70" s="173">
        <f t="shared" si="15"/>
        <v>-0.1174</v>
      </c>
      <c r="S70" s="82"/>
      <c r="T70" s="71">
        <f t="shared" si="16"/>
        <v>25.71</v>
      </c>
      <c r="U70" s="7" t="str">
        <f t="shared" si="17"/>
        <v> </v>
      </c>
      <c r="V70" s="182">
        <f t="shared" si="18"/>
        <v>-10368</v>
      </c>
    </row>
    <row r="71" spans="1:23" ht="12.75" customHeight="1">
      <c r="A71" s="95">
        <v>391.12</v>
      </c>
      <c r="C71" s="25">
        <v>1780</v>
      </c>
      <c r="E71" s="55"/>
      <c r="F71" s="53" t="s">
        <v>250</v>
      </c>
      <c r="G71" s="53"/>
      <c r="H71" s="51" t="s">
        <v>251</v>
      </c>
      <c r="I71" s="31"/>
      <c r="J71" s="182">
        <f aca="true" t="shared" si="19" ref="J71:J77">VLOOKUP($A71,Deprlot,6,FALSE)</f>
        <v>77036.81</v>
      </c>
      <c r="K71" s="182"/>
      <c r="L71" s="182">
        <f aca="true" t="shared" si="20" ref="L71:L77">VLOOKUP($A71,Deprlot,7,FALSE)</f>
        <v>33465</v>
      </c>
      <c r="M71" s="182"/>
      <c r="N71" s="92">
        <f>_xlfn.SUMIFS(Controls!$H:$H,Controls!$A:$A,$A71)</f>
        <v>-182854.87461399825</v>
      </c>
      <c r="O71" s="182"/>
      <c r="P71" s="250">
        <f t="shared" si="14"/>
        <v>216319.87</v>
      </c>
      <c r="Q71" s="58"/>
      <c r="R71" s="173">
        <f t="shared" si="15"/>
        <v>6.4641</v>
      </c>
      <c r="S71" s="82"/>
      <c r="T71" s="71">
        <f t="shared" si="16"/>
        <v>8.48</v>
      </c>
      <c r="U71" s="7" t="str">
        <f t="shared" si="17"/>
        <v> </v>
      </c>
      <c r="V71" s="182">
        <f t="shared" si="18"/>
        <v>25509</v>
      </c>
      <c r="W71" s="31"/>
    </row>
    <row r="72" spans="1:23" ht="12.75" customHeight="1">
      <c r="A72" s="95">
        <v>391.3</v>
      </c>
      <c r="C72" s="25">
        <v>1784</v>
      </c>
      <c r="E72" s="55"/>
      <c r="F72" s="53" t="s">
        <v>252</v>
      </c>
      <c r="G72" s="53"/>
      <c r="H72" s="51" t="s">
        <v>253</v>
      </c>
      <c r="I72" s="31"/>
      <c r="J72" s="182">
        <f t="shared" si="19"/>
        <v>1127560.69</v>
      </c>
      <c r="K72" s="182"/>
      <c r="L72" s="182">
        <f t="shared" si="20"/>
        <v>496829</v>
      </c>
      <c r="M72" s="182"/>
      <c r="N72" s="92">
        <f>_xlfn.SUMIFS(Controls!$H:$H,Controls!$A:$A,$A72)</f>
        <v>-150808.71911589673</v>
      </c>
      <c r="O72" s="182"/>
      <c r="P72" s="250">
        <f t="shared" si="14"/>
        <v>647637.72</v>
      </c>
      <c r="Q72" s="58"/>
      <c r="R72" s="173">
        <f t="shared" si="15"/>
        <v>1.3035</v>
      </c>
      <c r="S72" s="82"/>
      <c r="T72" s="71">
        <f t="shared" si="16"/>
        <v>5</v>
      </c>
      <c r="U72" s="7" t="str">
        <f t="shared" si="17"/>
        <v>b</v>
      </c>
      <c r="V72" s="182">
        <f t="shared" si="18"/>
        <v>129528</v>
      </c>
      <c r="W72" s="31"/>
    </row>
    <row r="73" spans="1:23" ht="14.25">
      <c r="A73" s="95">
        <v>391.4</v>
      </c>
      <c r="C73" s="35" t="s">
        <v>172</v>
      </c>
      <c r="E73" s="55"/>
      <c r="F73" s="53" t="s">
        <v>254</v>
      </c>
      <c r="G73" s="53"/>
      <c r="H73" s="131" t="s">
        <v>317</v>
      </c>
      <c r="I73" s="31"/>
      <c r="J73" s="182">
        <f t="shared" si="19"/>
        <v>5977486.48</v>
      </c>
      <c r="K73" s="182"/>
      <c r="L73" s="182">
        <f t="shared" si="20"/>
        <v>2735085</v>
      </c>
      <c r="M73" s="182"/>
      <c r="N73" s="92">
        <f>_xlfn.SUMIFS(Controls!$H:$H,Controls!$A:$A,$A73)</f>
        <v>3324011.3647413217</v>
      </c>
      <c r="O73" s="182"/>
      <c r="P73" s="250">
        <f t="shared" si="14"/>
        <v>-588926.36</v>
      </c>
      <c r="Q73" s="58"/>
      <c r="R73" s="173">
        <f t="shared" si="15"/>
        <v>-0.2153</v>
      </c>
      <c r="S73" s="82"/>
      <c r="T73" s="71">
        <f t="shared" si="16"/>
        <v>5.42</v>
      </c>
      <c r="U73" s="7" t="str">
        <f t="shared" si="17"/>
        <v> </v>
      </c>
      <c r="V73" s="182">
        <f t="shared" si="18"/>
        <v>-108658</v>
      </c>
      <c r="W73" s="31"/>
    </row>
    <row r="74" spans="1:23" ht="12.75" customHeight="1">
      <c r="A74" s="25">
        <v>392</v>
      </c>
      <c r="C74" s="25">
        <v>1781</v>
      </c>
      <c r="E74" s="55"/>
      <c r="F74" s="53" t="s">
        <v>25</v>
      </c>
      <c r="G74" s="53"/>
      <c r="H74" s="51" t="s">
        <v>255</v>
      </c>
      <c r="I74" s="31"/>
      <c r="J74" s="182">
        <f t="shared" si="19"/>
        <v>11944126.05</v>
      </c>
      <c r="K74" s="182"/>
      <c r="L74" s="182">
        <f t="shared" si="20"/>
        <v>5068505</v>
      </c>
      <c r="M74" s="182"/>
      <c r="N74" s="92">
        <f>_xlfn.SUMIFS(Controls!$H:$H,Controls!$A:$A,$A74)</f>
        <v>4716476.599950289</v>
      </c>
      <c r="O74" s="182"/>
      <c r="P74" s="250">
        <f t="shared" si="14"/>
        <v>352028.4</v>
      </c>
      <c r="Q74" s="58"/>
      <c r="R74" s="173">
        <f t="shared" si="15"/>
        <v>0.0695</v>
      </c>
      <c r="S74" s="82"/>
      <c r="T74" s="71">
        <f t="shared" si="16"/>
        <v>7.1</v>
      </c>
      <c r="U74" s="7" t="str">
        <f t="shared" si="17"/>
        <v> </v>
      </c>
      <c r="V74" s="182">
        <f t="shared" si="18"/>
        <v>49581</v>
      </c>
      <c r="W74" s="31"/>
    </row>
    <row r="75" spans="1:23" ht="12.75" customHeight="1">
      <c r="A75" s="95">
        <v>394</v>
      </c>
      <c r="C75" s="87" t="s">
        <v>65</v>
      </c>
      <c r="D75" s="87"/>
      <c r="E75" s="55"/>
      <c r="F75" s="53" t="s">
        <v>26</v>
      </c>
      <c r="G75" s="53"/>
      <c r="H75" s="51" t="s">
        <v>256</v>
      </c>
      <c r="I75" s="31"/>
      <c r="J75" s="182">
        <f t="shared" si="19"/>
        <v>1115936.44</v>
      </c>
      <c r="K75" s="182"/>
      <c r="L75" s="182">
        <f t="shared" si="20"/>
        <v>376109</v>
      </c>
      <c r="M75" s="182"/>
      <c r="N75" s="92">
        <f>_xlfn.SUMIFS(Controls!$H:$H,Controls!$A:$A,$A75)</f>
        <v>18026.753940057242</v>
      </c>
      <c r="O75" s="182"/>
      <c r="P75" s="250">
        <f t="shared" si="14"/>
        <v>358082.25</v>
      </c>
      <c r="Q75" s="58"/>
      <c r="R75" s="173">
        <f t="shared" si="15"/>
        <v>0.9521</v>
      </c>
      <c r="S75" s="82"/>
      <c r="T75" s="71">
        <f t="shared" si="16"/>
        <v>13.26</v>
      </c>
      <c r="U75" s="7" t="str">
        <f t="shared" si="17"/>
        <v> </v>
      </c>
      <c r="V75" s="182">
        <f t="shared" si="18"/>
        <v>27005</v>
      </c>
      <c r="W75" s="31"/>
    </row>
    <row r="76" spans="1:23" ht="12.75" customHeight="1">
      <c r="A76" s="25">
        <v>397</v>
      </c>
      <c r="C76" s="25">
        <v>1760</v>
      </c>
      <c r="E76" s="55"/>
      <c r="F76" s="53" t="s">
        <v>27</v>
      </c>
      <c r="G76" s="53"/>
      <c r="H76" s="51" t="s">
        <v>257</v>
      </c>
      <c r="I76" s="31"/>
      <c r="J76" s="182">
        <f t="shared" si="19"/>
        <v>10214241.58</v>
      </c>
      <c r="K76" s="182"/>
      <c r="L76" s="182">
        <f t="shared" si="20"/>
        <v>5919193</v>
      </c>
      <c r="M76" s="182"/>
      <c r="N76" s="92">
        <f>_xlfn.SUMIFS(Controls!$H:$H,Controls!$A:$A,$A76)</f>
        <v>5982949.630035153</v>
      </c>
      <c r="O76" s="182"/>
      <c r="P76" s="250">
        <f t="shared" si="14"/>
        <v>-63756.63</v>
      </c>
      <c r="Q76" s="58"/>
      <c r="R76" s="173">
        <f t="shared" si="15"/>
        <v>-0.0108</v>
      </c>
      <c r="S76" s="82"/>
      <c r="T76" s="71">
        <f t="shared" si="16"/>
        <v>9.81</v>
      </c>
      <c r="U76" s="7" t="str">
        <f t="shared" si="17"/>
        <v> </v>
      </c>
      <c r="V76" s="182">
        <f t="shared" si="18"/>
        <v>-6499</v>
      </c>
      <c r="W76" s="31"/>
    </row>
    <row r="77" spans="1:23" ht="12.75" customHeight="1">
      <c r="A77" s="25">
        <v>397.5</v>
      </c>
      <c r="C77" s="25">
        <v>1763</v>
      </c>
      <c r="E77" s="55"/>
      <c r="F77" s="53" t="s">
        <v>258</v>
      </c>
      <c r="G77" s="53"/>
      <c r="H77" s="51" t="s">
        <v>259</v>
      </c>
      <c r="I77" s="31"/>
      <c r="J77" s="184">
        <f t="shared" si="19"/>
        <v>1815240.61</v>
      </c>
      <c r="K77" s="182"/>
      <c r="L77" s="184">
        <f t="shared" si="20"/>
        <v>1152993</v>
      </c>
      <c r="M77" s="182"/>
      <c r="N77" s="92">
        <f>_xlfn.SUMIFS(Controls!$H:$H,Controls!$A:$A,$A77)</f>
        <v>1221841.6502533758</v>
      </c>
      <c r="O77" s="182"/>
      <c r="P77" s="251">
        <f t="shared" si="14"/>
        <v>-68848.65</v>
      </c>
      <c r="Q77" s="58"/>
      <c r="R77" s="173">
        <f t="shared" si="15"/>
        <v>-0.0597</v>
      </c>
      <c r="S77" s="82"/>
      <c r="T77" s="71">
        <f t="shared" si="16"/>
        <v>6.22</v>
      </c>
      <c r="U77" s="7" t="str">
        <f t="shared" si="17"/>
        <v> </v>
      </c>
      <c r="V77" s="184">
        <f t="shared" si="18"/>
        <v>-11069</v>
      </c>
      <c r="W77" s="31"/>
    </row>
    <row r="78" spans="5:23" ht="12.75" customHeight="1">
      <c r="E78" s="55" t="s">
        <v>260</v>
      </c>
      <c r="F78" s="54"/>
      <c r="G78" s="54"/>
      <c r="H78" s="55"/>
      <c r="I78" s="55"/>
      <c r="J78" s="183">
        <f>SUBTOTAL(9,J68:J77)</f>
        <v>44514725.77</v>
      </c>
      <c r="K78" s="183"/>
      <c r="L78" s="183">
        <f>SUBTOTAL(9,L68:L77)</f>
        <v>20389308</v>
      </c>
      <c r="M78" s="183"/>
      <c r="N78" s="211">
        <f>SUBTOTAL(9,N68:N77)</f>
        <v>20103018.222166132</v>
      </c>
      <c r="O78" s="183"/>
      <c r="P78" s="183">
        <f>SUBTOTAL(9,P68:P77)</f>
        <v>286289.78</v>
      </c>
      <c r="Q78" s="50"/>
      <c r="R78" s="175">
        <f>ROUND(P78/L78,4)</f>
        <v>0.014</v>
      </c>
      <c r="S78" s="55"/>
      <c r="T78" s="56"/>
      <c r="U78" s="55"/>
      <c r="V78" s="183">
        <f>SUBTOTAL(9,V68:V77)</f>
        <v>83042</v>
      </c>
      <c r="W78" s="55"/>
    </row>
    <row r="79" spans="10:22" ht="12.75">
      <c r="J79" s="212"/>
      <c r="K79" s="186"/>
      <c r="L79" s="212"/>
      <c r="M79" s="186"/>
      <c r="N79" s="212"/>
      <c r="O79" s="186"/>
      <c r="P79" s="212"/>
      <c r="Q79" s="25"/>
      <c r="R79" s="178"/>
      <c r="V79" s="212"/>
    </row>
    <row r="80" spans="5:23" ht="12.75" customHeight="1" thickBot="1">
      <c r="E80" s="28" t="s">
        <v>11</v>
      </c>
      <c r="F80" s="54"/>
      <c r="G80" s="54"/>
      <c r="H80" s="55"/>
      <c r="I80" s="55"/>
      <c r="J80" s="121">
        <f>SUBTOTAL(9,J12:J79)</f>
        <v>627104044.0000001</v>
      </c>
      <c r="K80" s="183"/>
      <c r="L80" s="121">
        <f>SUBTOTAL(9,L12:L79)</f>
        <v>270559786</v>
      </c>
      <c r="M80" s="183"/>
      <c r="N80" s="121">
        <f>SUBTOTAL(9,N12:N79)</f>
        <v>226586857.6838707</v>
      </c>
      <c r="O80" s="183"/>
      <c r="P80" s="121">
        <f>SUBTOTAL(9,P12:P79)</f>
        <v>43972928.34</v>
      </c>
      <c r="Q80" s="50"/>
      <c r="R80" s="175">
        <f>ROUND(P80/L80,4)</f>
        <v>0.1625</v>
      </c>
      <c r="S80" s="55"/>
      <c r="T80" s="56"/>
      <c r="U80" s="55"/>
      <c r="V80" s="121">
        <f>SUBTOTAL(9,V12:V79)</f>
        <v>6254843</v>
      </c>
      <c r="W80" s="55"/>
    </row>
    <row r="81" ht="13.5" thickTop="1">
      <c r="J81" s="157"/>
    </row>
    <row r="82" ht="12.75">
      <c r="J82" s="157"/>
    </row>
    <row r="83" spans="5:10" ht="12.75" customHeight="1">
      <c r="E83" s="125" t="s">
        <v>318</v>
      </c>
      <c r="F83" s="126"/>
      <c r="G83" s="126"/>
      <c r="H83" s="127"/>
      <c r="J83" s="157"/>
    </row>
    <row r="84" spans="5:10" ht="12.75" customHeight="1">
      <c r="E84" s="124" t="s">
        <v>379</v>
      </c>
      <c r="J84" s="157"/>
    </row>
    <row r="85" spans="5:10" ht="12.75" customHeight="1">
      <c r="E85" s="124"/>
      <c r="F85" s="53"/>
      <c r="G85" s="53"/>
      <c r="H85" s="31"/>
      <c r="J85" s="157"/>
    </row>
    <row r="86" spans="5:10" ht="12.75" customHeight="1">
      <c r="E86" s="124"/>
      <c r="F86" s="53"/>
      <c r="G86" s="53"/>
      <c r="H86" s="31"/>
      <c r="J86" s="157"/>
    </row>
    <row r="87" ht="12.75" customHeight="1">
      <c r="J87" s="157"/>
    </row>
    <row r="88" spans="10:14" ht="12.75" customHeight="1" hidden="1" outlineLevel="1">
      <c r="J88" s="187"/>
      <c r="L88" s="24"/>
      <c r="N88" s="99"/>
    </row>
    <row r="89" spans="10:14" ht="12.75" customHeight="1" hidden="1" outlineLevel="1">
      <c r="J89" s="157"/>
      <c r="N89" s="98"/>
    </row>
    <row r="90" spans="10:16" ht="12.75" customHeight="1" hidden="1" outlineLevel="1">
      <c r="J90" s="157">
        <f>Table1!R80</f>
        <v>627104044.0000001</v>
      </c>
      <c r="L90" s="157">
        <f>Table1!X80</f>
        <v>270559786</v>
      </c>
      <c r="P90" s="24">
        <f>L80-N80</f>
        <v>43972928.3161293</v>
      </c>
    </row>
    <row r="91" spans="10:16" ht="12.75" customHeight="1" hidden="1" outlineLevel="1">
      <c r="J91" s="98">
        <f>J90-J80</f>
        <v>0</v>
      </c>
      <c r="L91" s="98">
        <f>L90-L80</f>
        <v>0</v>
      </c>
      <c r="P91" s="24">
        <f>P90-P80</f>
        <v>-0.02387070655822754</v>
      </c>
    </row>
    <row r="92" ht="12.75" customHeight="1" hidden="1" outlineLevel="1"/>
    <row r="93" spans="12:15" ht="12.75" customHeight="1" hidden="1" outlineLevel="1">
      <c r="L93" s="156" t="s">
        <v>323</v>
      </c>
      <c r="N93" s="154">
        <v>222985416.16855913</v>
      </c>
      <c r="O93" s="35"/>
    </row>
    <row r="94" spans="12:15" ht="12.75" customHeight="1" hidden="1" outlineLevel="1">
      <c r="L94" s="156" t="s">
        <v>293</v>
      </c>
      <c r="N94" s="154">
        <v>1472702.909508</v>
      </c>
      <c r="O94" s="35"/>
    </row>
    <row r="95" spans="12:15" ht="12.75" customHeight="1" hidden="1" outlineLevel="1">
      <c r="L95" s="156" t="s">
        <v>292</v>
      </c>
      <c r="N95" s="155">
        <v>2128738.61376</v>
      </c>
      <c r="O95" s="35"/>
    </row>
    <row r="96" spans="12:16" ht="12.75" customHeight="1" hidden="1" outlineLevel="1">
      <c r="L96" s="156" t="s">
        <v>171</v>
      </c>
      <c r="N96" s="154">
        <f>SUM(N93:N95)</f>
        <v>226586857.69182712</v>
      </c>
      <c r="O96" s="35"/>
      <c r="P96" s="123"/>
    </row>
    <row r="97" spans="12:16" ht="12.75" customHeight="1" hidden="1" outlineLevel="1">
      <c r="L97" s="156"/>
      <c r="N97" s="154"/>
      <c r="O97" s="35"/>
      <c r="P97" s="123"/>
    </row>
    <row r="98" spans="12:16" ht="12.75" customHeight="1" hidden="1" outlineLevel="1">
      <c r="L98" s="35" t="s">
        <v>167</v>
      </c>
      <c r="N98" s="81">
        <f>N96-N80</f>
        <v>0.00795641541481018</v>
      </c>
      <c r="P98" s="119"/>
    </row>
    <row r="99" ht="12.75" customHeight="1" hidden="1" outlineLevel="1"/>
    <row r="100" ht="12.75" customHeight="1" hidden="1" outlineLevel="1"/>
    <row r="101" ht="12.75" customHeight="1" collapsed="1"/>
  </sheetData>
  <sheetProtection/>
  <printOptions/>
  <pageMargins left="1" right="0.5" top="1" bottom="1" header="0.5" footer="0.5"/>
  <pageSetup fitToHeight="0" horizontalDpi="600" verticalDpi="600" orientation="landscape" scale="65" r:id="rId1"/>
  <rowBreaks count="1" manualBreakCount="1">
    <brk id="55" min="4" max="21" man="1"/>
  </rowBreaks>
  <ignoredErrors>
    <ignoredError sqref="U26:U29 U65:U67 U49:U51 U39:U42 U35:U37 U30:U31 U32:U34 U38 U43:U48 U52:U64 U68:U77" unlockedFormula="1"/>
    <ignoredError sqref="F24:F77 F16:F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="90" zoomScaleNormal="90" zoomScaleSheetLayoutView="75" zoomScalePageLayoutView="0" workbookViewId="0" topLeftCell="E1">
      <pane ySplit="9" topLeftCell="A10" activePane="bottomLeft" state="frozen"/>
      <selection pane="topLeft" activeCell="AF35" sqref="AF35"/>
      <selection pane="bottomLeft" activeCell="AF35" sqref="AF35"/>
    </sheetView>
  </sheetViews>
  <sheetFormatPr defaultColWidth="8.8515625" defaultRowHeight="12.75" customHeight="1" outlineLevelRow="1" outlineLevelCol="1"/>
  <cols>
    <col min="1" max="1" width="9.00390625" style="25" hidden="1" customWidth="1" outlineLevel="1"/>
    <col min="2" max="2" width="2.28125" style="25" hidden="1" customWidth="1" outlineLevel="1"/>
    <col min="3" max="3" width="14.28125" style="25" hidden="1" customWidth="1" outlineLevel="1"/>
    <col min="4" max="4" width="3.140625" style="25" hidden="1" customWidth="1" outlineLevel="1"/>
    <col min="5" max="5" width="2.57421875" style="28" customWidth="1" collapsed="1"/>
    <col min="6" max="6" width="7.00390625" style="26" customWidth="1"/>
    <col min="7" max="7" width="0.85546875" style="26" customWidth="1"/>
    <col min="8" max="8" width="24.8515625" style="25" customWidth="1"/>
    <col min="9" max="9" width="1.1484375" style="25" customWidth="1"/>
    <col min="10" max="10" width="16.140625" style="23" customWidth="1"/>
    <col min="11" max="11" width="2.28125" style="25" customWidth="1"/>
    <col min="12" max="12" width="15.00390625" style="23" customWidth="1"/>
    <col min="13" max="13" width="2.28125" style="25" customWidth="1"/>
    <col min="14" max="14" width="15.140625" style="24" bestFit="1" customWidth="1"/>
    <col min="15" max="15" width="2.28125" style="25" customWidth="1"/>
    <col min="16" max="16" width="15.421875" style="24" bestFit="1" customWidth="1"/>
    <col min="17" max="17" width="2.7109375" style="24" customWidth="1"/>
    <col min="18" max="18" width="12.7109375" style="25" bestFit="1" customWidth="1"/>
    <col min="19" max="19" width="9.8515625" style="25" bestFit="1" customWidth="1"/>
    <col min="20" max="20" width="10.8515625" style="25" bestFit="1" customWidth="1"/>
    <col min="21" max="16384" width="8.8515625" style="25" customWidth="1"/>
  </cols>
  <sheetData>
    <row r="1" spans="5:18" ht="12.75" customHeight="1">
      <c r="E1" s="129" t="s">
        <v>28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5:18" ht="12.75" customHeight="1"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107"/>
      <c r="R2" s="105"/>
    </row>
    <row r="3" spans="5:18" ht="12.75" customHeight="1">
      <c r="E3" s="108" t="s">
        <v>283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5"/>
    </row>
    <row r="4" spans="5:18" ht="12.75" customHeight="1">
      <c r="E4" s="130" t="s">
        <v>321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</row>
    <row r="5" spans="5:14" ht="12.75" customHeight="1">
      <c r="E5" s="141"/>
      <c r="F5" s="142"/>
      <c r="G5" s="141"/>
      <c r="H5" s="143"/>
      <c r="I5" s="1"/>
      <c r="J5" s="29"/>
      <c r="K5" s="20"/>
      <c r="L5" s="33"/>
      <c r="M5" s="1"/>
      <c r="N5" s="5"/>
    </row>
    <row r="6" spans="5:18" ht="12.75" customHeight="1">
      <c r="E6" s="133"/>
      <c r="F6" s="144"/>
      <c r="G6" s="133"/>
      <c r="H6" s="133"/>
      <c r="I6" s="3"/>
      <c r="J6" s="32"/>
      <c r="K6" s="17"/>
      <c r="L6" s="32" t="s">
        <v>184</v>
      </c>
      <c r="M6" s="3"/>
      <c r="N6" s="14" t="s">
        <v>274</v>
      </c>
      <c r="P6" s="48" t="s">
        <v>284</v>
      </c>
      <c r="Q6" s="48"/>
      <c r="R6" s="132" t="s">
        <v>184</v>
      </c>
    </row>
    <row r="7" spans="5:18" ht="12.75" customHeight="1">
      <c r="E7" s="133"/>
      <c r="F7" s="144"/>
      <c r="G7" s="133"/>
      <c r="H7" s="133"/>
      <c r="I7" s="3"/>
      <c r="J7" s="32" t="s">
        <v>173</v>
      </c>
      <c r="K7" s="17"/>
      <c r="L7" s="32" t="s">
        <v>185</v>
      </c>
      <c r="M7" s="3"/>
      <c r="N7" s="14" t="s">
        <v>277</v>
      </c>
      <c r="P7" s="38" t="s">
        <v>184</v>
      </c>
      <c r="Q7" s="38"/>
      <c r="R7" s="132" t="s">
        <v>285</v>
      </c>
    </row>
    <row r="8" spans="3:18" ht="12.75">
      <c r="C8" s="150" t="s">
        <v>271</v>
      </c>
      <c r="E8" s="2" t="s">
        <v>180</v>
      </c>
      <c r="F8" s="12"/>
      <c r="G8" s="2"/>
      <c r="H8" s="2"/>
      <c r="I8" s="3"/>
      <c r="J8" s="210" t="s">
        <v>322</v>
      </c>
      <c r="K8" s="18"/>
      <c r="L8" s="32" t="s">
        <v>186</v>
      </c>
      <c r="M8" s="3"/>
      <c r="N8" s="43" t="s">
        <v>278</v>
      </c>
      <c r="P8" s="135" t="s">
        <v>286</v>
      </c>
      <c r="Q8" s="38"/>
      <c r="R8" s="100" t="s">
        <v>287</v>
      </c>
    </row>
    <row r="9" spans="5:18" ht="12.75" customHeight="1">
      <c r="E9" s="4" t="s">
        <v>0</v>
      </c>
      <c r="F9" s="13"/>
      <c r="G9" s="4"/>
      <c r="H9" s="4"/>
      <c r="I9" s="3"/>
      <c r="J9" s="40" t="s">
        <v>1</v>
      </c>
      <c r="K9" s="17"/>
      <c r="L9" s="34" t="s">
        <v>2</v>
      </c>
      <c r="M9" s="3"/>
      <c r="N9" s="139" t="s">
        <v>3</v>
      </c>
      <c r="O9" s="139"/>
      <c r="P9" s="22" t="s">
        <v>4</v>
      </c>
      <c r="Q9" s="41"/>
      <c r="R9" s="22" t="s">
        <v>5</v>
      </c>
    </row>
    <row r="10" spans="5:17" ht="12.75" customHeight="1">
      <c r="E10" s="122"/>
      <c r="F10" s="145"/>
      <c r="G10" s="122"/>
      <c r="H10" s="122"/>
      <c r="I10" s="6"/>
      <c r="J10" s="39"/>
      <c r="K10" s="17"/>
      <c r="L10" s="40"/>
      <c r="M10" s="6"/>
      <c r="N10" s="21"/>
      <c r="P10" s="41"/>
      <c r="Q10" s="41"/>
    </row>
    <row r="11" spans="5:17" ht="12.75" customHeight="1">
      <c r="E11" s="30" t="s">
        <v>12</v>
      </c>
      <c r="F11" s="145"/>
      <c r="G11" s="122"/>
      <c r="H11" s="122"/>
      <c r="I11" s="6"/>
      <c r="J11" s="39"/>
      <c r="K11" s="17"/>
      <c r="L11" s="40"/>
      <c r="M11" s="6"/>
      <c r="N11" s="21"/>
      <c r="P11" s="41"/>
      <c r="Q11" s="41"/>
    </row>
    <row r="12" spans="5:17" ht="12.75" customHeight="1">
      <c r="E12" s="30"/>
      <c r="F12" s="145"/>
      <c r="G12" s="122"/>
      <c r="H12" s="122"/>
      <c r="I12" s="6"/>
      <c r="J12" s="39"/>
      <c r="K12" s="17"/>
      <c r="L12" s="40"/>
      <c r="M12" s="6"/>
      <c r="N12" s="21"/>
      <c r="P12" s="41"/>
      <c r="Q12" s="41"/>
    </row>
    <row r="13" spans="5:17" ht="12.75" customHeight="1">
      <c r="E13" s="27" t="s">
        <v>191</v>
      </c>
      <c r="F13" s="145"/>
      <c r="G13" s="122"/>
      <c r="H13" s="122"/>
      <c r="I13" s="6"/>
      <c r="J13" s="122"/>
      <c r="K13" s="17"/>
      <c r="L13" s="40"/>
      <c r="M13" s="6"/>
      <c r="N13" s="21"/>
      <c r="P13" s="41"/>
      <c r="Q13" s="41"/>
    </row>
    <row r="14" spans="5:17" ht="12.75" customHeight="1">
      <c r="E14" s="27"/>
      <c r="F14" s="145"/>
      <c r="G14" s="122"/>
      <c r="H14" s="122"/>
      <c r="I14" s="6"/>
      <c r="J14" s="122"/>
      <c r="K14" s="17"/>
      <c r="L14" s="40"/>
      <c r="M14" s="6"/>
      <c r="N14" s="21"/>
      <c r="P14" s="41"/>
      <c r="Q14" s="41"/>
    </row>
    <row r="15" spans="6:17" ht="12.75" customHeight="1">
      <c r="F15" s="63" t="s">
        <v>193</v>
      </c>
      <c r="G15" s="122"/>
      <c r="H15" s="122"/>
      <c r="I15" s="6"/>
      <c r="J15" s="122"/>
      <c r="K15" s="17"/>
      <c r="L15" s="40"/>
      <c r="M15" s="6"/>
      <c r="N15" s="21"/>
      <c r="P15" s="41"/>
      <c r="Q15" s="41"/>
    </row>
    <row r="16" spans="1:18" ht="12.75" customHeight="1">
      <c r="A16" s="25">
        <v>311</v>
      </c>
      <c r="C16" s="25">
        <v>1102</v>
      </c>
      <c r="E16" s="30"/>
      <c r="F16" s="65" t="s">
        <v>194</v>
      </c>
      <c r="G16" s="122"/>
      <c r="H16" s="62" t="s">
        <v>195</v>
      </c>
      <c r="I16" s="6"/>
      <c r="J16" s="92">
        <f>VLOOKUP($A16,Deprlot,6,FALSE)</f>
        <v>9006038.08</v>
      </c>
      <c r="K16" s="17"/>
      <c r="L16" s="92">
        <f>VLOOKUP($A16,Deprlot,9,FALSE)</f>
        <v>547357</v>
      </c>
      <c r="M16" s="6"/>
      <c r="N16" s="75">
        <f>Table2!V16</f>
        <v>750090</v>
      </c>
      <c r="P16" s="73">
        <f>L16+N16</f>
        <v>1297447</v>
      </c>
      <c r="Q16" s="73"/>
      <c r="R16" s="101">
        <f>ROUND(P16/J16*100,2)</f>
        <v>14.41</v>
      </c>
    </row>
    <row r="17" spans="1:18" ht="12.75" customHeight="1">
      <c r="A17" s="25">
        <v>312</v>
      </c>
      <c r="C17" s="86" t="s">
        <v>62</v>
      </c>
      <c r="E17" s="30"/>
      <c r="F17" s="65" t="s">
        <v>196</v>
      </c>
      <c r="G17" s="122"/>
      <c r="H17" s="62" t="s">
        <v>197</v>
      </c>
      <c r="I17" s="6"/>
      <c r="J17" s="188">
        <f>VLOOKUP($A17,Deprlot,6,FALSE)</f>
        <v>26445979.81</v>
      </c>
      <c r="K17" s="83"/>
      <c r="L17" s="92">
        <f>VLOOKUP($A17,Deprlot,9,FALSE)</f>
        <v>1285317</v>
      </c>
      <c r="M17" s="74"/>
      <c r="N17" s="75">
        <f>Table2!V17</f>
        <v>1714173</v>
      </c>
      <c r="O17" s="84"/>
      <c r="P17" s="73">
        <f>L17+N17</f>
        <v>2999490</v>
      </c>
      <c r="Q17" s="73"/>
      <c r="R17" s="101">
        <f>ROUND(P17/J17*100,2)</f>
        <v>11.34</v>
      </c>
    </row>
    <row r="18" spans="1:18" ht="12.75" customHeight="1">
      <c r="A18" s="25">
        <v>314</v>
      </c>
      <c r="C18" s="25">
        <v>1107</v>
      </c>
      <c r="E18" s="30"/>
      <c r="F18" s="65" t="s">
        <v>198</v>
      </c>
      <c r="G18" s="122"/>
      <c r="H18" s="62" t="s">
        <v>199</v>
      </c>
      <c r="I18" s="6"/>
      <c r="J18" s="92"/>
      <c r="K18" s="83"/>
      <c r="L18" s="92"/>
      <c r="M18" s="74"/>
      <c r="N18" s="75"/>
      <c r="O18" s="84"/>
      <c r="P18" s="73"/>
      <c r="Q18" s="73"/>
      <c r="R18" s="101"/>
    </row>
    <row r="19" spans="1:18" ht="12.75" customHeight="1">
      <c r="A19" s="124" t="s">
        <v>386</v>
      </c>
      <c r="E19" s="30"/>
      <c r="F19" s="65"/>
      <c r="G19" s="122"/>
      <c r="H19" s="243" t="s">
        <v>382</v>
      </c>
      <c r="I19" s="6"/>
      <c r="J19" s="92">
        <f>VLOOKUP($A19,Deprlot,6,FALSE)</f>
        <v>1954690.95</v>
      </c>
      <c r="K19" s="83"/>
      <c r="L19" s="92">
        <f>VLOOKUP($A19,Deprlot,9,FALSE)</f>
        <v>113005</v>
      </c>
      <c r="M19" s="74"/>
      <c r="N19" s="75">
        <f>Table2!V19</f>
        <v>365342</v>
      </c>
      <c r="O19" s="84"/>
      <c r="P19" s="73">
        <f>L19+N19</f>
        <v>478347</v>
      </c>
      <c r="Q19" s="73"/>
      <c r="R19" s="101">
        <f>ROUND(P19/J19*100,2)</f>
        <v>24.47</v>
      </c>
    </row>
    <row r="20" spans="1:18" ht="12.75" customHeight="1">
      <c r="A20" s="124" t="s">
        <v>387</v>
      </c>
      <c r="E20" s="30"/>
      <c r="F20" s="65"/>
      <c r="G20" s="122"/>
      <c r="H20" s="243" t="s">
        <v>383</v>
      </c>
      <c r="I20" s="6"/>
      <c r="J20" s="92">
        <f>VLOOKUP($A20,Deprlot,6,FALSE)</f>
        <v>3909381.9</v>
      </c>
      <c r="K20" s="83"/>
      <c r="L20" s="92">
        <f>VLOOKUP($A20,Deprlot,9,FALSE)</f>
        <v>209582</v>
      </c>
      <c r="M20" s="74"/>
      <c r="N20" s="75">
        <f>Table2!V20</f>
        <v>467631</v>
      </c>
      <c r="O20" s="84"/>
      <c r="P20" s="73">
        <f>L20+N20</f>
        <v>677213</v>
      </c>
      <c r="Q20" s="73"/>
      <c r="R20" s="101">
        <f>ROUND(P20/J20*100,2)</f>
        <v>17.32</v>
      </c>
    </row>
    <row r="21" spans="1:18" ht="12.75" customHeight="1">
      <c r="A21" s="124" t="s">
        <v>388</v>
      </c>
      <c r="E21" s="30"/>
      <c r="F21" s="65"/>
      <c r="G21" s="122"/>
      <c r="H21" s="243" t="s">
        <v>384</v>
      </c>
      <c r="I21" s="6"/>
      <c r="J21" s="92">
        <f>VLOOKUP($A21,Deprlot,6,FALSE)</f>
        <v>15637527.64</v>
      </c>
      <c r="K21" s="83"/>
      <c r="L21" s="92">
        <f>VLOOKUP($A21,Deprlot,9,FALSE)</f>
        <v>796856</v>
      </c>
      <c r="M21" s="74"/>
      <c r="N21" s="75">
        <f>Table2!V21</f>
        <v>1346205</v>
      </c>
      <c r="O21" s="84"/>
      <c r="P21" s="73">
        <f>L21+N21</f>
        <v>2143061</v>
      </c>
      <c r="Q21" s="73"/>
      <c r="R21" s="101">
        <f>ROUND(P21/J21*100,2)</f>
        <v>13.7</v>
      </c>
    </row>
    <row r="22" spans="1:18" ht="12.75" customHeight="1">
      <c r="A22" s="25">
        <v>314</v>
      </c>
      <c r="E22" s="30"/>
      <c r="F22" s="65"/>
      <c r="G22" s="122"/>
      <c r="H22" s="244" t="s">
        <v>385</v>
      </c>
      <c r="I22" s="6"/>
      <c r="J22" s="198">
        <f>SUBTOTAL(9,J19:J21)</f>
        <v>21501600.490000002</v>
      </c>
      <c r="K22" s="83"/>
      <c r="L22" s="198">
        <f>SUBTOTAL(9,L19:L21)</f>
        <v>1119443</v>
      </c>
      <c r="M22" s="74"/>
      <c r="N22" s="198">
        <f>SUBTOTAL(9,N19:N21)</f>
        <v>2179178</v>
      </c>
      <c r="O22" s="84"/>
      <c r="P22" s="198">
        <f>SUBTOTAL(9,P19:P21)</f>
        <v>3298621</v>
      </c>
      <c r="Q22" s="73"/>
      <c r="R22" s="204">
        <f>ROUND(P22/J22*100,2)</f>
        <v>15.34</v>
      </c>
    </row>
    <row r="23" spans="5:18" ht="8.25" customHeight="1">
      <c r="E23" s="30"/>
      <c r="F23" s="65"/>
      <c r="G23" s="122"/>
      <c r="H23" s="62"/>
      <c r="I23" s="6"/>
      <c r="J23" s="92"/>
      <c r="K23" s="83"/>
      <c r="L23" s="92"/>
      <c r="M23" s="74"/>
      <c r="N23" s="75"/>
      <c r="O23" s="84"/>
      <c r="P23" s="73"/>
      <c r="Q23" s="73"/>
      <c r="R23" s="101"/>
    </row>
    <row r="24" spans="1:18" ht="12.75" customHeight="1">
      <c r="A24" s="25">
        <v>315</v>
      </c>
      <c r="C24" s="25">
        <v>1113</v>
      </c>
      <c r="E24" s="30"/>
      <c r="F24" s="65" t="s">
        <v>200</v>
      </c>
      <c r="G24" s="122"/>
      <c r="H24" s="62" t="s">
        <v>201</v>
      </c>
      <c r="I24" s="6"/>
      <c r="J24" s="92">
        <f>VLOOKUP($A24,Deprlot,6,FALSE)</f>
        <v>2283113.25</v>
      </c>
      <c r="K24" s="83"/>
      <c r="L24" s="92">
        <f>VLOOKUP($A24,Deprlot,9,FALSE)</f>
        <v>68942</v>
      </c>
      <c r="M24" s="74"/>
      <c r="N24" s="75">
        <f>Table2!V24</f>
        <v>113456</v>
      </c>
      <c r="O24" s="84"/>
      <c r="P24" s="73">
        <f>L24+N24</f>
        <v>182398</v>
      </c>
      <c r="Q24" s="73"/>
      <c r="R24" s="101">
        <f>ROUND(P24/J24*100,2)</f>
        <v>7.99</v>
      </c>
    </row>
    <row r="25" spans="1:18" ht="12.75" customHeight="1">
      <c r="A25" s="25">
        <v>316</v>
      </c>
      <c r="C25" s="87" t="s">
        <v>63</v>
      </c>
      <c r="E25" s="30"/>
      <c r="F25" s="65" t="s">
        <v>202</v>
      </c>
      <c r="G25" s="122"/>
      <c r="H25" s="62" t="s">
        <v>203</v>
      </c>
      <c r="I25" s="6"/>
      <c r="J25" s="179">
        <f>VLOOKUP($A25,Deprlot,6,FALSE)</f>
        <v>1512886.51</v>
      </c>
      <c r="K25" s="83"/>
      <c r="L25" s="179">
        <f>VLOOKUP($A25,Deprlot,9,FALSE)</f>
        <v>68526</v>
      </c>
      <c r="M25" s="74"/>
      <c r="N25" s="76">
        <f>Table2!V25</f>
        <v>85546</v>
      </c>
      <c r="O25" s="84"/>
      <c r="P25" s="77">
        <f>L25+N25</f>
        <v>154072</v>
      </c>
      <c r="Q25" s="73"/>
      <c r="R25" s="101">
        <f>ROUND(P25/J25*100,2)</f>
        <v>10.18</v>
      </c>
    </row>
    <row r="26" spans="5:18" ht="12.75" customHeight="1">
      <c r="E26" s="30"/>
      <c r="F26" s="145"/>
      <c r="G26" s="122"/>
      <c r="H26" s="122"/>
      <c r="I26" s="6"/>
      <c r="J26" s="169"/>
      <c r="K26" s="17"/>
      <c r="L26" s="246"/>
      <c r="M26" s="6"/>
      <c r="N26" s="21"/>
      <c r="P26" s="41"/>
      <c r="Q26" s="41"/>
      <c r="R26" s="101"/>
    </row>
    <row r="27" spans="5:18" ht="12.75" customHeight="1">
      <c r="E27" s="27" t="s">
        <v>204</v>
      </c>
      <c r="F27" s="145"/>
      <c r="G27" s="122"/>
      <c r="H27" s="122"/>
      <c r="I27" s="6"/>
      <c r="J27" s="169">
        <f>SUBTOTAL(9,J16:J25)</f>
        <v>60749618.14</v>
      </c>
      <c r="K27" s="17"/>
      <c r="L27" s="169">
        <f>SUBTOTAL(9,L16:L25)</f>
        <v>3089585</v>
      </c>
      <c r="M27" s="6"/>
      <c r="N27" s="66">
        <f>SUBTOTAL(9,N16:N25)</f>
        <v>4842443</v>
      </c>
      <c r="P27" s="66">
        <f>SUBTOTAL(9,P16:P25)</f>
        <v>7932028</v>
      </c>
      <c r="Q27" s="66"/>
      <c r="R27" s="102">
        <f>ROUND(P27/J27*100,2)</f>
        <v>13.06</v>
      </c>
    </row>
    <row r="28" spans="5:18" ht="12.75" customHeight="1">
      <c r="E28" s="30"/>
      <c r="F28" s="145"/>
      <c r="G28" s="122"/>
      <c r="H28" s="122"/>
      <c r="I28" s="6"/>
      <c r="J28" s="169"/>
      <c r="K28" s="17"/>
      <c r="L28" s="246"/>
      <c r="M28" s="6"/>
      <c r="N28" s="21"/>
      <c r="P28" s="41"/>
      <c r="Q28" s="41"/>
      <c r="R28" s="101"/>
    </row>
    <row r="29" spans="5:18" s="31" customFormat="1" ht="12.75" customHeight="1">
      <c r="E29" s="55" t="s">
        <v>205</v>
      </c>
      <c r="F29" s="53"/>
      <c r="G29" s="53"/>
      <c r="J29" s="189"/>
      <c r="L29" s="189"/>
      <c r="N29" s="58"/>
      <c r="P29" s="58"/>
      <c r="Q29" s="58"/>
      <c r="R29" s="103"/>
    </row>
    <row r="30" spans="5:18" s="31" customFormat="1" ht="12.75" customHeight="1">
      <c r="E30" s="55"/>
      <c r="F30" s="53"/>
      <c r="G30" s="53"/>
      <c r="J30" s="189"/>
      <c r="L30" s="189"/>
      <c r="N30" s="58"/>
      <c r="P30" s="58"/>
      <c r="Q30" s="58"/>
      <c r="R30" s="103"/>
    </row>
    <row r="31" spans="5:18" s="31" customFormat="1" ht="12.75" customHeight="1">
      <c r="E31" s="55"/>
      <c r="F31" s="64" t="s">
        <v>206</v>
      </c>
      <c r="G31" s="53"/>
      <c r="J31" s="189"/>
      <c r="L31" s="189"/>
      <c r="N31" s="58"/>
      <c r="P31" s="58"/>
      <c r="Q31" s="58"/>
      <c r="R31" s="103"/>
    </row>
    <row r="32" spans="1:18" s="31" customFormat="1" ht="12.75" customHeight="1">
      <c r="A32" s="25">
        <v>341</v>
      </c>
      <c r="C32" s="31">
        <v>1202</v>
      </c>
      <c r="E32" s="55"/>
      <c r="F32" s="53" t="s">
        <v>13</v>
      </c>
      <c r="G32" s="53"/>
      <c r="H32" s="51" t="s">
        <v>207</v>
      </c>
      <c r="J32" s="92">
        <f>VLOOKUP($A32,Deprlot,6,FALSE)</f>
        <v>481305.81</v>
      </c>
      <c r="K32" s="17"/>
      <c r="L32" s="92">
        <f>VLOOKUP($A32,Deprlot,9,FALSE)</f>
        <v>14050</v>
      </c>
      <c r="M32" s="6"/>
      <c r="N32" s="75">
        <f>Table2!V32</f>
        <v>8205</v>
      </c>
      <c r="O32" s="25"/>
      <c r="P32" s="73">
        <f>L32+N32</f>
        <v>22255</v>
      </c>
      <c r="Q32" s="73"/>
      <c r="R32" s="101">
        <f>ROUND(P32/J32*100,2)</f>
        <v>4.62</v>
      </c>
    </row>
    <row r="33" spans="1:18" s="31" customFormat="1" ht="12.75" customHeight="1">
      <c r="A33" s="95" t="s">
        <v>90</v>
      </c>
      <c r="C33" s="31">
        <v>1209</v>
      </c>
      <c r="E33" s="55"/>
      <c r="F33" s="53" t="s">
        <v>14</v>
      </c>
      <c r="G33" s="53"/>
      <c r="H33" s="51" t="s">
        <v>208</v>
      </c>
      <c r="J33" s="92">
        <f>VLOOKUP($A33,Deprlot,6,FALSE)</f>
        <v>12865544.8</v>
      </c>
      <c r="K33" s="17"/>
      <c r="L33" s="92">
        <f>VLOOKUP($A33,Deprlot,9,FALSE)</f>
        <v>535707</v>
      </c>
      <c r="M33" s="6"/>
      <c r="N33" s="75">
        <f>Table2!V33</f>
        <v>220695</v>
      </c>
      <c r="O33" s="25"/>
      <c r="P33" s="73">
        <f>L33+N33</f>
        <v>756402</v>
      </c>
      <c r="Q33" s="73"/>
      <c r="R33" s="101">
        <f>ROUND(P33/J33*100,2)</f>
        <v>5.88</v>
      </c>
    </row>
    <row r="34" spans="1:18" s="31" customFormat="1" ht="12.75" customHeight="1">
      <c r="A34" s="25">
        <v>346</v>
      </c>
      <c r="C34" s="31">
        <v>1215</v>
      </c>
      <c r="E34" s="55"/>
      <c r="F34" s="53" t="s">
        <v>15</v>
      </c>
      <c r="G34" s="53"/>
      <c r="H34" s="62" t="s">
        <v>203</v>
      </c>
      <c r="J34" s="179">
        <f>VLOOKUP($A34,Deprlot,6,FALSE)</f>
        <v>320115.73</v>
      </c>
      <c r="K34" s="17"/>
      <c r="L34" s="179">
        <f>VLOOKUP($A34,Deprlot,9,FALSE)</f>
        <v>13054</v>
      </c>
      <c r="M34" s="6"/>
      <c r="N34" s="76">
        <f>Table2!V34</f>
        <v>5604</v>
      </c>
      <c r="O34" s="25"/>
      <c r="P34" s="77">
        <f>L34+N34</f>
        <v>18658</v>
      </c>
      <c r="Q34" s="73"/>
      <c r="R34" s="101">
        <f>ROUND(P34/J34*100,2)</f>
        <v>5.83</v>
      </c>
    </row>
    <row r="35" spans="1:18" s="31" customFormat="1" ht="12.75" customHeight="1">
      <c r="A35" s="25"/>
      <c r="E35" s="55"/>
      <c r="F35" s="165" t="s">
        <v>209</v>
      </c>
      <c r="G35" s="193"/>
      <c r="H35" s="62"/>
      <c r="I35" s="131"/>
      <c r="J35" s="166">
        <f>SUBTOTAL(9,J32:J34)</f>
        <v>13666966.340000002</v>
      </c>
      <c r="K35" s="201"/>
      <c r="L35" s="166">
        <f>SUBTOTAL(9,L32:L34)</f>
        <v>562811</v>
      </c>
      <c r="M35" s="202"/>
      <c r="N35" s="166">
        <f>SUBTOTAL(9,N32:N34)</f>
        <v>234504</v>
      </c>
      <c r="O35" s="203"/>
      <c r="P35" s="166">
        <f>SUBTOTAL(9,P32:P34)</f>
        <v>797315</v>
      </c>
      <c r="Q35" s="166"/>
      <c r="R35" s="204">
        <f>ROUND(P35/J35*100,2)</f>
        <v>5.83</v>
      </c>
    </row>
    <row r="36" spans="1:18" s="31" customFormat="1" ht="12.75" customHeight="1">
      <c r="A36" s="25"/>
      <c r="E36" s="55"/>
      <c r="F36" s="53" t="s">
        <v>192</v>
      </c>
      <c r="G36" s="53"/>
      <c r="H36" s="62"/>
      <c r="J36" s="92"/>
      <c r="K36" s="17"/>
      <c r="L36" s="92"/>
      <c r="M36" s="6"/>
      <c r="N36" s="75"/>
      <c r="O36" s="25"/>
      <c r="P36" s="73"/>
      <c r="Q36" s="73"/>
      <c r="R36" s="103"/>
    </row>
    <row r="37" spans="1:18" s="31" customFormat="1" ht="12.75" customHeight="1">
      <c r="A37" s="25"/>
      <c r="E37" s="55"/>
      <c r="F37" s="64" t="s">
        <v>210</v>
      </c>
      <c r="G37" s="53"/>
      <c r="H37" s="62"/>
      <c r="J37" s="92"/>
      <c r="K37" s="17"/>
      <c r="L37" s="92"/>
      <c r="M37" s="6"/>
      <c r="N37" s="75"/>
      <c r="O37" s="25"/>
      <c r="P37" s="73"/>
      <c r="Q37" s="73"/>
      <c r="R37" s="103"/>
    </row>
    <row r="38" spans="1:18" s="31" customFormat="1" ht="12.75" customHeight="1">
      <c r="A38" s="95" t="s">
        <v>91</v>
      </c>
      <c r="B38" s="25"/>
      <c r="C38" s="91" t="s">
        <v>67</v>
      </c>
      <c r="E38" s="55"/>
      <c r="F38" s="53" t="s">
        <v>14</v>
      </c>
      <c r="G38" s="53"/>
      <c r="H38" s="51" t="s">
        <v>208</v>
      </c>
      <c r="J38" s="179">
        <f>VLOOKUP($A38,Deprlot,6,FALSE)</f>
        <v>35297120.5</v>
      </c>
      <c r="K38" s="17"/>
      <c r="L38" s="179">
        <f>VLOOKUP($A38,Deprlot,9,FALSE)</f>
        <v>824633</v>
      </c>
      <c r="M38" s="6"/>
      <c r="N38" s="75">
        <f>Table2!V38</f>
        <v>54310</v>
      </c>
      <c r="O38" s="25"/>
      <c r="P38" s="73">
        <f>L38+N38</f>
        <v>878943</v>
      </c>
      <c r="Q38" s="73"/>
      <c r="R38" s="101">
        <f>ROUND(P38/J38*100,2)</f>
        <v>2.49</v>
      </c>
    </row>
    <row r="39" spans="1:18" s="31" customFormat="1" ht="12.75" customHeight="1">
      <c r="A39" s="25"/>
      <c r="E39" s="55"/>
      <c r="F39" s="53"/>
      <c r="G39" s="53"/>
      <c r="H39" s="51"/>
      <c r="J39" s="189"/>
      <c r="L39" s="189"/>
      <c r="N39" s="153"/>
      <c r="P39" s="153"/>
      <c r="Q39" s="58"/>
      <c r="R39" s="103"/>
    </row>
    <row r="40" spans="5:18" s="55" customFormat="1" ht="12.75" customHeight="1">
      <c r="E40" s="55" t="s">
        <v>211</v>
      </c>
      <c r="F40" s="54"/>
      <c r="G40" s="54"/>
      <c r="J40" s="93">
        <f>SUBTOTAL(9,J32:J38)</f>
        <v>48964086.84</v>
      </c>
      <c r="L40" s="93">
        <f>SUBTOTAL(9,L32:L38)</f>
        <v>1387444</v>
      </c>
      <c r="N40" s="50">
        <f>SUBTOTAL(9,N32:N38)</f>
        <v>288814</v>
      </c>
      <c r="O40" s="50"/>
      <c r="P40" s="50">
        <f>SUBTOTAL(9,P32:P38)</f>
        <v>1676258</v>
      </c>
      <c r="Q40" s="50"/>
      <c r="R40" s="102">
        <f>ROUND(P40/J40*100,2)</f>
        <v>3.42</v>
      </c>
    </row>
    <row r="41" spans="5:18" s="31" customFormat="1" ht="12.75" customHeight="1">
      <c r="E41" s="55"/>
      <c r="F41" s="53"/>
      <c r="G41" s="53"/>
      <c r="J41" s="189"/>
      <c r="L41" s="189"/>
      <c r="N41" s="58"/>
      <c r="P41" s="58"/>
      <c r="Q41" s="58"/>
      <c r="R41" s="103"/>
    </row>
    <row r="42" spans="5:18" s="31" customFormat="1" ht="12.75" customHeight="1">
      <c r="E42" s="55" t="s">
        <v>212</v>
      </c>
      <c r="F42" s="53"/>
      <c r="G42" s="53"/>
      <c r="J42" s="189"/>
      <c r="L42" s="189"/>
      <c r="N42" s="58"/>
      <c r="P42" s="58"/>
      <c r="Q42" s="58"/>
      <c r="R42" s="103"/>
    </row>
    <row r="43" spans="1:18" s="31" customFormat="1" ht="12.75" customHeight="1">
      <c r="A43" s="25">
        <v>350.2</v>
      </c>
      <c r="C43" s="163" t="s">
        <v>302</v>
      </c>
      <c r="E43" s="55"/>
      <c r="F43" s="53" t="s">
        <v>213</v>
      </c>
      <c r="G43" s="53"/>
      <c r="H43" s="51" t="s">
        <v>214</v>
      </c>
      <c r="J43" s="92">
        <f aca="true" t="shared" si="0" ref="J43:J48">VLOOKUP($A43,Deprlot,6,FALSE)</f>
        <v>4462984.86</v>
      </c>
      <c r="K43" s="17"/>
      <c r="L43" s="92">
        <f aca="true" t="shared" si="1" ref="L43:L48">VLOOKUP($A43,Deprlot,9,FALSE)</f>
        <v>63821</v>
      </c>
      <c r="M43" s="6"/>
      <c r="N43" s="75">
        <f>Table2!V43</f>
        <v>-6462</v>
      </c>
      <c r="O43" s="25"/>
      <c r="P43" s="73">
        <f aca="true" t="shared" si="2" ref="P43:P48">L43+N43</f>
        <v>57359</v>
      </c>
      <c r="Q43" s="73"/>
      <c r="R43" s="101">
        <f aca="true" t="shared" si="3" ref="R43:R48">ROUND(P43/J43*100,2)</f>
        <v>1.29</v>
      </c>
    </row>
    <row r="44" spans="1:18" s="31" customFormat="1" ht="12.75" customHeight="1">
      <c r="A44" s="25">
        <v>353</v>
      </c>
      <c r="C44" s="31">
        <v>1841</v>
      </c>
      <c r="E44" s="55"/>
      <c r="F44" s="53" t="s">
        <v>215</v>
      </c>
      <c r="G44" s="53"/>
      <c r="H44" s="51" t="s">
        <v>216</v>
      </c>
      <c r="J44" s="92">
        <f t="shared" si="0"/>
        <v>50295932.85</v>
      </c>
      <c r="K44" s="17"/>
      <c r="L44" s="92">
        <f t="shared" si="1"/>
        <v>924188</v>
      </c>
      <c r="M44" s="6"/>
      <c r="N44" s="75">
        <f>Table2!V44</f>
        <v>-98148</v>
      </c>
      <c r="O44" s="25"/>
      <c r="P44" s="73">
        <f t="shared" si="2"/>
        <v>826040</v>
      </c>
      <c r="Q44" s="73"/>
      <c r="R44" s="101">
        <f t="shared" si="3"/>
        <v>1.64</v>
      </c>
    </row>
    <row r="45" spans="1:18" s="31" customFormat="1" ht="12.75" customHeight="1">
      <c r="A45" s="25">
        <v>354</v>
      </c>
      <c r="C45" s="31">
        <v>1847</v>
      </c>
      <c r="E45" s="55"/>
      <c r="F45" s="53" t="s">
        <v>16</v>
      </c>
      <c r="G45" s="53"/>
      <c r="H45" s="51" t="s">
        <v>217</v>
      </c>
      <c r="J45" s="92">
        <f t="shared" si="0"/>
        <v>878834.26</v>
      </c>
      <c r="K45" s="17"/>
      <c r="L45" s="92">
        <f t="shared" si="1"/>
        <v>17612</v>
      </c>
      <c r="M45" s="6"/>
      <c r="N45" s="75">
        <f>Table2!V45</f>
        <v>-3640</v>
      </c>
      <c r="O45" s="25"/>
      <c r="P45" s="73">
        <f t="shared" si="2"/>
        <v>13972</v>
      </c>
      <c r="Q45" s="73"/>
      <c r="R45" s="101">
        <f t="shared" si="3"/>
        <v>1.59</v>
      </c>
    </row>
    <row r="46" spans="1:18" s="31" customFormat="1" ht="12.75" customHeight="1">
      <c r="A46" s="25">
        <v>355</v>
      </c>
      <c r="C46" s="89">
        <v>1849</v>
      </c>
      <c r="E46" s="55"/>
      <c r="F46" s="53" t="s">
        <v>17</v>
      </c>
      <c r="G46" s="53"/>
      <c r="H46" s="51" t="s">
        <v>218</v>
      </c>
      <c r="J46" s="92">
        <f t="shared" si="0"/>
        <v>22861633.71</v>
      </c>
      <c r="K46" s="17"/>
      <c r="L46" s="92">
        <f t="shared" si="1"/>
        <v>746204</v>
      </c>
      <c r="M46" s="6"/>
      <c r="N46" s="75">
        <f>Table2!V46</f>
        <v>48156</v>
      </c>
      <c r="O46" s="25"/>
      <c r="P46" s="73">
        <f t="shared" si="2"/>
        <v>794360</v>
      </c>
      <c r="Q46" s="73"/>
      <c r="R46" s="101">
        <f t="shared" si="3"/>
        <v>3.47</v>
      </c>
    </row>
    <row r="47" spans="1:18" s="31" customFormat="1" ht="12.75" customHeight="1">
      <c r="A47" s="25">
        <v>356</v>
      </c>
      <c r="C47" s="89">
        <v>1848</v>
      </c>
      <c r="E47" s="55"/>
      <c r="F47" s="53" t="s">
        <v>18</v>
      </c>
      <c r="G47" s="53"/>
      <c r="H47" s="51" t="s">
        <v>219</v>
      </c>
      <c r="J47" s="92">
        <f t="shared" si="0"/>
        <v>45621954.93</v>
      </c>
      <c r="K47" s="17"/>
      <c r="L47" s="92">
        <f t="shared" si="1"/>
        <v>1295207</v>
      </c>
      <c r="M47" s="6"/>
      <c r="N47" s="75">
        <f>Table2!V47</f>
        <v>10996</v>
      </c>
      <c r="O47" s="25"/>
      <c r="P47" s="73">
        <f t="shared" si="2"/>
        <v>1306203</v>
      </c>
      <c r="Q47" s="73"/>
      <c r="R47" s="101">
        <f t="shared" si="3"/>
        <v>2.86</v>
      </c>
    </row>
    <row r="48" spans="1:18" s="31" customFormat="1" ht="12.75" customHeight="1">
      <c r="A48" s="25">
        <v>359</v>
      </c>
      <c r="C48" s="89">
        <v>1846</v>
      </c>
      <c r="E48" s="55"/>
      <c r="F48" s="53" t="s">
        <v>220</v>
      </c>
      <c r="G48" s="53"/>
      <c r="H48" s="51" t="s">
        <v>221</v>
      </c>
      <c r="J48" s="179">
        <f t="shared" si="0"/>
        <v>73263</v>
      </c>
      <c r="K48" s="17"/>
      <c r="L48" s="179">
        <f t="shared" si="1"/>
        <v>1465</v>
      </c>
      <c r="M48" s="6"/>
      <c r="N48" s="76">
        <f>Table2!V48</f>
        <v>-35</v>
      </c>
      <c r="O48" s="25"/>
      <c r="P48" s="77">
        <f t="shared" si="2"/>
        <v>1430</v>
      </c>
      <c r="Q48" s="73"/>
      <c r="R48" s="101">
        <f t="shared" si="3"/>
        <v>1.95</v>
      </c>
    </row>
    <row r="49" spans="5:26" s="31" customFormat="1" ht="12.75" customHeight="1">
      <c r="E49" s="55" t="s">
        <v>222</v>
      </c>
      <c r="F49" s="55"/>
      <c r="G49" s="54"/>
      <c r="H49" s="55"/>
      <c r="I49" s="55"/>
      <c r="J49" s="93">
        <f>SUBTOTAL(9,J43:J48)</f>
        <v>124194603.61000001</v>
      </c>
      <c r="K49" s="55"/>
      <c r="L49" s="93">
        <f>SUBTOTAL(9,L43:L48)</f>
        <v>3048497</v>
      </c>
      <c r="M49" s="55"/>
      <c r="N49" s="50">
        <f>SUBTOTAL(9,N43:N48)</f>
        <v>-49133</v>
      </c>
      <c r="O49" s="55"/>
      <c r="P49" s="50">
        <f>SUBTOTAL(9,P43:P48)</f>
        <v>2999364</v>
      </c>
      <c r="Q49" s="50"/>
      <c r="R49" s="102">
        <f>ROUND(P49/J49*100,2)</f>
        <v>2.42</v>
      </c>
      <c r="S49" s="55"/>
      <c r="T49" s="55"/>
      <c r="U49" s="55"/>
      <c r="V49" s="55"/>
      <c r="W49" s="55"/>
      <c r="X49" s="55"/>
      <c r="Y49" s="55"/>
      <c r="Z49" s="55"/>
    </row>
    <row r="50" spans="5:18" s="31" customFormat="1" ht="12.75" customHeight="1">
      <c r="E50" s="55"/>
      <c r="F50" s="53"/>
      <c r="G50" s="53"/>
      <c r="J50" s="182"/>
      <c r="L50" s="182"/>
      <c r="N50" s="58"/>
      <c r="P50" s="58"/>
      <c r="Q50" s="58"/>
      <c r="R50" s="103"/>
    </row>
    <row r="51" spans="1:18" s="31" customFormat="1" ht="12.75" customHeight="1">
      <c r="A51" s="25"/>
      <c r="E51" s="54" t="s">
        <v>223</v>
      </c>
      <c r="G51" s="53"/>
      <c r="J51" s="182"/>
      <c r="L51" s="182"/>
      <c r="N51" s="58"/>
      <c r="P51" s="58"/>
      <c r="Q51" s="58"/>
      <c r="R51" s="103"/>
    </row>
    <row r="52" spans="1:18" s="31" customFormat="1" ht="12.75" customHeight="1">
      <c r="A52" s="25">
        <v>360.2</v>
      </c>
      <c r="C52" s="163" t="s">
        <v>301</v>
      </c>
      <c r="E52" s="55"/>
      <c r="F52" s="53" t="s">
        <v>224</v>
      </c>
      <c r="G52" s="53"/>
      <c r="H52" s="51" t="s">
        <v>225</v>
      </c>
      <c r="J52" s="92">
        <f aca="true" t="shared" si="4" ref="J52:J64">VLOOKUP($A52,Deprlot,6,FALSE)</f>
        <v>282000</v>
      </c>
      <c r="K52" s="17"/>
      <c r="L52" s="92">
        <f aca="true" t="shared" si="5" ref="L52:L64">VLOOKUP($A52,Deprlot,9,FALSE)</f>
        <v>4033</v>
      </c>
      <c r="M52" s="6"/>
      <c r="N52" s="75">
        <f>Table2!V52</f>
        <v>-102</v>
      </c>
      <c r="O52" s="25"/>
      <c r="P52" s="73">
        <f>L52+N52</f>
        <v>3931</v>
      </c>
      <c r="Q52" s="73"/>
      <c r="R52" s="101">
        <f>ROUND(P52/J52*100,2)</f>
        <v>1.39</v>
      </c>
    </row>
    <row r="53" spans="1:18" s="31" customFormat="1" ht="12.75" customHeight="1">
      <c r="A53" s="25">
        <v>362</v>
      </c>
      <c r="C53" s="31">
        <v>1741</v>
      </c>
      <c r="E53" s="55"/>
      <c r="F53" s="53" t="s">
        <v>19</v>
      </c>
      <c r="G53" s="53"/>
      <c r="H53" s="51" t="s">
        <v>226</v>
      </c>
      <c r="J53" s="92">
        <f t="shared" si="4"/>
        <v>3289858.8</v>
      </c>
      <c r="K53" s="17"/>
      <c r="L53" s="92">
        <f t="shared" si="5"/>
        <v>73578</v>
      </c>
      <c r="M53" s="6"/>
      <c r="N53" s="75">
        <f>Table2!V53</f>
        <v>7349</v>
      </c>
      <c r="O53" s="25"/>
      <c r="P53" s="73">
        <f aca="true" t="shared" si="6" ref="P53:P64">L53+N53</f>
        <v>80927</v>
      </c>
      <c r="Q53" s="73"/>
      <c r="R53" s="101">
        <f aca="true" t="shared" si="7" ref="R53:R64">ROUND(P53/J53*100,2)</f>
        <v>2.46</v>
      </c>
    </row>
    <row r="54" spans="1:18" s="31" customFormat="1" ht="12.75" customHeight="1">
      <c r="A54" s="25">
        <v>364</v>
      </c>
      <c r="C54" s="31">
        <v>1749</v>
      </c>
      <c r="E54" s="55"/>
      <c r="F54" s="53" t="s">
        <v>20</v>
      </c>
      <c r="G54" s="53"/>
      <c r="H54" s="51" t="s">
        <v>227</v>
      </c>
      <c r="J54" s="92">
        <f t="shared" si="4"/>
        <v>75601860.44</v>
      </c>
      <c r="K54" s="17"/>
      <c r="L54" s="92">
        <f t="shared" si="5"/>
        <v>2576511</v>
      </c>
      <c r="M54" s="6"/>
      <c r="N54" s="75">
        <f>Table2!V54</f>
        <v>-86280</v>
      </c>
      <c r="O54" s="25"/>
      <c r="P54" s="73">
        <f t="shared" si="6"/>
        <v>2490231</v>
      </c>
      <c r="Q54" s="73"/>
      <c r="R54" s="101">
        <f t="shared" si="7"/>
        <v>3.29</v>
      </c>
    </row>
    <row r="55" spans="1:18" s="31" customFormat="1" ht="12.75" customHeight="1">
      <c r="A55" s="25">
        <v>365</v>
      </c>
      <c r="C55" s="88" t="s">
        <v>64</v>
      </c>
      <c r="E55" s="55"/>
      <c r="F55" s="53" t="s">
        <v>21</v>
      </c>
      <c r="G55" s="53"/>
      <c r="H55" s="51" t="s">
        <v>219</v>
      </c>
      <c r="J55" s="92">
        <f t="shared" si="4"/>
        <v>93875165.89</v>
      </c>
      <c r="K55" s="17"/>
      <c r="L55" s="92">
        <f t="shared" si="5"/>
        <v>2883845</v>
      </c>
      <c r="M55" s="6"/>
      <c r="N55" s="75">
        <f>Table2!V55</f>
        <v>103924</v>
      </c>
      <c r="O55" s="25"/>
      <c r="P55" s="73">
        <f t="shared" si="6"/>
        <v>2987769</v>
      </c>
      <c r="Q55" s="73"/>
      <c r="R55" s="101">
        <f t="shared" si="7"/>
        <v>3.18</v>
      </c>
    </row>
    <row r="56" spans="1:18" s="31" customFormat="1" ht="12.75" customHeight="1">
      <c r="A56" s="25">
        <v>367</v>
      </c>
      <c r="C56" s="89">
        <v>1755</v>
      </c>
      <c r="E56" s="55"/>
      <c r="F56" s="53" t="s">
        <v>22</v>
      </c>
      <c r="G56" s="53"/>
      <c r="H56" s="51" t="s">
        <v>228</v>
      </c>
      <c r="J56" s="92">
        <f t="shared" si="4"/>
        <v>3097193.94</v>
      </c>
      <c r="K56" s="17"/>
      <c r="L56" s="92">
        <f t="shared" si="5"/>
        <v>68138</v>
      </c>
      <c r="M56" s="6"/>
      <c r="N56" s="75">
        <f>Table2!V56</f>
        <v>-3171</v>
      </c>
      <c r="O56" s="25"/>
      <c r="P56" s="73">
        <f t="shared" si="6"/>
        <v>64967</v>
      </c>
      <c r="Q56" s="73"/>
      <c r="R56" s="101">
        <f t="shared" si="7"/>
        <v>2.1</v>
      </c>
    </row>
    <row r="57" spans="1:18" s="31" customFormat="1" ht="12.75" customHeight="1">
      <c r="A57" s="25">
        <v>368.1</v>
      </c>
      <c r="C57" s="89">
        <v>1751</v>
      </c>
      <c r="E57" s="55"/>
      <c r="F57" s="53" t="s">
        <v>229</v>
      </c>
      <c r="G57" s="53"/>
      <c r="H57" s="51" t="s">
        <v>230</v>
      </c>
      <c r="J57" s="92">
        <f t="shared" si="4"/>
        <v>69024149.65</v>
      </c>
      <c r="K57" s="17"/>
      <c r="L57" s="92">
        <f t="shared" si="5"/>
        <v>2435172</v>
      </c>
      <c r="M57" s="6"/>
      <c r="N57" s="75">
        <f>Table2!V57</f>
        <v>417120</v>
      </c>
      <c r="O57" s="25"/>
      <c r="P57" s="73">
        <f t="shared" si="6"/>
        <v>2852292</v>
      </c>
      <c r="Q57" s="73"/>
      <c r="R57" s="101">
        <f t="shared" si="7"/>
        <v>4.13</v>
      </c>
    </row>
    <row r="58" spans="1:18" s="31" customFormat="1" ht="12.75" customHeight="1">
      <c r="A58" s="25">
        <v>368.2</v>
      </c>
      <c r="C58" s="89">
        <v>1752</v>
      </c>
      <c r="E58" s="55"/>
      <c r="F58" s="53" t="s">
        <v>231</v>
      </c>
      <c r="G58" s="53"/>
      <c r="H58" s="51" t="s">
        <v>232</v>
      </c>
      <c r="J58" s="92">
        <f t="shared" si="4"/>
        <v>12591273.83</v>
      </c>
      <c r="K58" s="17"/>
      <c r="L58" s="92">
        <f t="shared" si="5"/>
        <v>444220</v>
      </c>
      <c r="M58" s="6"/>
      <c r="N58" s="75">
        <f>Table2!V58</f>
        <v>65455</v>
      </c>
      <c r="O58" s="25"/>
      <c r="P58" s="73">
        <f t="shared" si="6"/>
        <v>509675</v>
      </c>
      <c r="Q58" s="73"/>
      <c r="R58" s="101">
        <f t="shared" si="7"/>
        <v>4.05</v>
      </c>
    </row>
    <row r="59" spans="1:18" s="31" customFormat="1" ht="12.75" customHeight="1">
      <c r="A59" s="25">
        <v>369.01</v>
      </c>
      <c r="C59" s="89">
        <v>1753</v>
      </c>
      <c r="E59" s="55"/>
      <c r="F59" s="53" t="s">
        <v>233</v>
      </c>
      <c r="G59" s="53"/>
      <c r="H59" s="51" t="s">
        <v>234</v>
      </c>
      <c r="J59" s="92">
        <f t="shared" si="4"/>
        <v>67238249.06</v>
      </c>
      <c r="K59" s="17"/>
      <c r="L59" s="92">
        <f t="shared" si="5"/>
        <v>2334512</v>
      </c>
      <c r="M59" s="6"/>
      <c r="N59" s="75">
        <f>Table2!V59</f>
        <v>110957</v>
      </c>
      <c r="O59" s="25"/>
      <c r="P59" s="73">
        <f t="shared" si="6"/>
        <v>2445469</v>
      </c>
      <c r="Q59" s="73"/>
      <c r="R59" s="101">
        <f t="shared" si="7"/>
        <v>3.64</v>
      </c>
    </row>
    <row r="60" spans="1:18" s="31" customFormat="1" ht="12.75" customHeight="1">
      <c r="A60" s="25">
        <v>369.02</v>
      </c>
      <c r="C60" s="89">
        <v>1756</v>
      </c>
      <c r="E60" s="55"/>
      <c r="F60" s="53" t="s">
        <v>235</v>
      </c>
      <c r="G60" s="53"/>
      <c r="H60" s="51" t="s">
        <v>236</v>
      </c>
      <c r="J60" s="92">
        <f t="shared" si="4"/>
        <v>2076694.98</v>
      </c>
      <c r="K60" s="17"/>
      <c r="L60" s="92">
        <f t="shared" si="5"/>
        <v>50713</v>
      </c>
      <c r="M60" s="6"/>
      <c r="N60" s="75">
        <f>Table2!V60</f>
        <v>-506</v>
      </c>
      <c r="O60" s="25"/>
      <c r="P60" s="73">
        <f t="shared" si="6"/>
        <v>50207</v>
      </c>
      <c r="Q60" s="73"/>
      <c r="R60" s="101">
        <f t="shared" si="7"/>
        <v>2.42</v>
      </c>
    </row>
    <row r="61" spans="1:26" s="55" customFormat="1" ht="12.75" customHeight="1">
      <c r="A61" s="25">
        <v>370.1</v>
      </c>
      <c r="C61" s="51">
        <v>1758</v>
      </c>
      <c r="F61" s="53" t="s">
        <v>237</v>
      </c>
      <c r="G61" s="53"/>
      <c r="H61" s="51" t="s">
        <v>238</v>
      </c>
      <c r="I61" s="31"/>
      <c r="J61" s="92">
        <f t="shared" si="4"/>
        <v>14245974.39</v>
      </c>
      <c r="K61" s="17"/>
      <c r="L61" s="92">
        <f t="shared" si="5"/>
        <v>691671</v>
      </c>
      <c r="M61" s="6"/>
      <c r="N61" s="75">
        <f>Table2!V61</f>
        <v>386662</v>
      </c>
      <c r="O61" s="25"/>
      <c r="P61" s="73">
        <f t="shared" si="6"/>
        <v>1078333</v>
      </c>
      <c r="Q61" s="73"/>
      <c r="R61" s="101">
        <f t="shared" si="7"/>
        <v>7.57</v>
      </c>
      <c r="S61" s="31"/>
      <c r="T61" s="31"/>
      <c r="U61" s="31"/>
      <c r="V61" s="31"/>
      <c r="W61" s="31"/>
      <c r="X61" s="31"/>
      <c r="Y61" s="31"/>
      <c r="Z61" s="31"/>
    </row>
    <row r="62" spans="1:18" s="31" customFormat="1" ht="12.75" customHeight="1">
      <c r="A62" s="25">
        <v>370.2</v>
      </c>
      <c r="C62" s="90">
        <v>1759</v>
      </c>
      <c r="E62" s="55"/>
      <c r="F62" s="53" t="s">
        <v>239</v>
      </c>
      <c r="G62" s="53"/>
      <c r="H62" s="51" t="s">
        <v>240</v>
      </c>
      <c r="J62" s="92">
        <f t="shared" si="4"/>
        <v>651341.47</v>
      </c>
      <c r="K62" s="17"/>
      <c r="L62" s="92">
        <f t="shared" si="5"/>
        <v>21690</v>
      </c>
      <c r="M62" s="6"/>
      <c r="N62" s="75">
        <f>Table2!V62</f>
        <v>48357</v>
      </c>
      <c r="O62" s="25"/>
      <c r="P62" s="73">
        <f t="shared" si="6"/>
        <v>70047</v>
      </c>
      <c r="Q62" s="73"/>
      <c r="R62" s="101">
        <f t="shared" si="7"/>
        <v>10.75</v>
      </c>
    </row>
    <row r="63" spans="1:18" s="31" customFormat="1" ht="12.75" customHeight="1">
      <c r="A63" s="25">
        <v>373</v>
      </c>
      <c r="C63" s="90">
        <v>1754</v>
      </c>
      <c r="E63" s="55"/>
      <c r="F63" s="53" t="s">
        <v>241</v>
      </c>
      <c r="G63" s="53"/>
      <c r="H63" s="51" t="s">
        <v>242</v>
      </c>
      <c r="J63" s="92">
        <f t="shared" si="4"/>
        <v>6053458.58</v>
      </c>
      <c r="K63" s="17"/>
      <c r="L63" s="92">
        <f t="shared" si="5"/>
        <v>279972</v>
      </c>
      <c r="M63" s="6"/>
      <c r="N63" s="75">
        <f>Table2!V63</f>
        <v>44829</v>
      </c>
      <c r="O63" s="25"/>
      <c r="P63" s="73">
        <f t="shared" si="6"/>
        <v>324801</v>
      </c>
      <c r="Q63" s="73"/>
      <c r="R63" s="101">
        <f t="shared" si="7"/>
        <v>5.37</v>
      </c>
    </row>
    <row r="64" spans="1:18" s="31" customFormat="1" ht="12.75" customHeight="1">
      <c r="A64" s="25">
        <v>373.2</v>
      </c>
      <c r="C64" s="90">
        <v>1757</v>
      </c>
      <c r="E64" s="55"/>
      <c r="F64" s="53" t="s">
        <v>23</v>
      </c>
      <c r="G64" s="53"/>
      <c r="H64" s="51" t="s">
        <v>243</v>
      </c>
      <c r="J64" s="179">
        <f t="shared" si="4"/>
        <v>653788.61</v>
      </c>
      <c r="K64" s="17"/>
      <c r="L64" s="179">
        <f t="shared" si="5"/>
        <v>26609</v>
      </c>
      <c r="M64" s="6"/>
      <c r="N64" s="76">
        <f>Table2!V64</f>
        <v>-4917</v>
      </c>
      <c r="O64" s="25"/>
      <c r="P64" s="77">
        <f t="shared" si="6"/>
        <v>21692</v>
      </c>
      <c r="Q64" s="73"/>
      <c r="R64" s="101">
        <f t="shared" si="7"/>
        <v>3.32</v>
      </c>
    </row>
    <row r="65" spans="5:26" s="31" customFormat="1" ht="12.75" customHeight="1">
      <c r="E65" s="55" t="s">
        <v>244</v>
      </c>
      <c r="F65" s="54"/>
      <c r="G65" s="54"/>
      <c r="H65" s="55"/>
      <c r="I65" s="55"/>
      <c r="J65" s="183">
        <f>SUBTOTAL(9,J52:J64)</f>
        <v>348681009.64000005</v>
      </c>
      <c r="K65" s="55"/>
      <c r="L65" s="183">
        <f>SUBTOTAL(9,L52:L64)</f>
        <v>11890664</v>
      </c>
      <c r="M65" s="55"/>
      <c r="N65" s="50">
        <f>SUBTOTAL(9,N52:N64)</f>
        <v>1089677</v>
      </c>
      <c r="O65" s="55"/>
      <c r="P65" s="50">
        <f>SUBTOTAL(9,P52:P64)</f>
        <v>12980341</v>
      </c>
      <c r="Q65" s="50"/>
      <c r="R65" s="102">
        <f>ROUND(P65/J65*100,2)</f>
        <v>3.72</v>
      </c>
      <c r="S65" s="55"/>
      <c r="T65" s="55"/>
      <c r="U65" s="55"/>
      <c r="V65" s="55"/>
      <c r="W65" s="55"/>
      <c r="X65" s="55"/>
      <c r="Y65" s="55"/>
      <c r="Z65" s="55"/>
    </row>
    <row r="66" spans="5:18" s="31" customFormat="1" ht="12.75" customHeight="1">
      <c r="E66" s="55"/>
      <c r="F66" s="53"/>
      <c r="G66" s="53"/>
      <c r="J66" s="182"/>
      <c r="L66" s="182"/>
      <c r="N66" s="58"/>
      <c r="P66" s="58"/>
      <c r="Q66" s="58"/>
      <c r="R66" s="101"/>
    </row>
    <row r="67" spans="1:18" s="31" customFormat="1" ht="12.75" customHeight="1">
      <c r="A67" s="25"/>
      <c r="E67" s="55" t="s">
        <v>245</v>
      </c>
      <c r="F67" s="53"/>
      <c r="G67" s="53"/>
      <c r="J67" s="182"/>
      <c r="L67" s="182"/>
      <c r="N67" s="58"/>
      <c r="P67" s="58"/>
      <c r="Q67" s="58"/>
      <c r="R67" s="101"/>
    </row>
    <row r="68" spans="1:18" s="31" customFormat="1" ht="12.75" customHeight="1">
      <c r="A68" s="25">
        <v>390</v>
      </c>
      <c r="C68" s="31">
        <v>1379</v>
      </c>
      <c r="E68" s="55"/>
      <c r="F68" s="53" t="s">
        <v>24</v>
      </c>
      <c r="G68" s="53"/>
      <c r="H68" s="131" t="s">
        <v>282</v>
      </c>
      <c r="J68" s="92">
        <f>VLOOKUP($A68,Deprlot,6,FALSE)</f>
        <v>903406.39</v>
      </c>
      <c r="K68" s="17"/>
      <c r="L68" s="92">
        <f>VLOOKUP($A68,Deprlot,9,FALSE)</f>
        <v>22585</v>
      </c>
      <c r="M68" s="6"/>
      <c r="N68" s="75">
        <f>Table2!V68</f>
        <v>745</v>
      </c>
      <c r="O68" s="25"/>
      <c r="P68" s="73">
        <f aca="true" t="shared" si="8" ref="P68:P77">L68+N68</f>
        <v>23330</v>
      </c>
      <c r="Q68" s="73"/>
      <c r="R68" s="101">
        <f aca="true" t="shared" si="9" ref="R68:R80">ROUND(P68/J68*100,2)</f>
        <v>2.58</v>
      </c>
    </row>
    <row r="69" spans="1:18" s="31" customFormat="1" ht="12.75" customHeight="1">
      <c r="A69" s="25">
        <v>390.11</v>
      </c>
      <c r="C69" s="31">
        <v>1778</v>
      </c>
      <c r="E69" s="55"/>
      <c r="F69" s="53" t="s">
        <v>246</v>
      </c>
      <c r="G69" s="53"/>
      <c r="H69" s="51" t="s">
        <v>247</v>
      </c>
      <c r="J69" s="92">
        <f>VLOOKUP($A69,Deprlot,6,FALSE)</f>
        <v>4981389.66</v>
      </c>
      <c r="K69" s="17"/>
      <c r="L69" s="92">
        <f>VLOOKUP($A69,Deprlot,9,FALSE)</f>
        <v>124535</v>
      </c>
      <c r="M69" s="6"/>
      <c r="N69" s="75">
        <f>Table2!V69</f>
        <v>-12732</v>
      </c>
      <c r="O69" s="25"/>
      <c r="P69" s="73">
        <f t="shared" si="8"/>
        <v>111803</v>
      </c>
      <c r="Q69" s="73"/>
      <c r="R69" s="101">
        <f t="shared" si="9"/>
        <v>2.24</v>
      </c>
    </row>
    <row r="70" spans="1:18" s="31" customFormat="1" ht="12.75" customHeight="1">
      <c r="A70" s="25">
        <v>390.12</v>
      </c>
      <c r="C70" s="31">
        <v>1779</v>
      </c>
      <c r="E70" s="55"/>
      <c r="F70" s="53" t="s">
        <v>248</v>
      </c>
      <c r="G70" s="53"/>
      <c r="H70" s="51" t="s">
        <v>249</v>
      </c>
      <c r="J70" s="92">
        <f>VLOOKUP($A70,Deprlot,6,FALSE)</f>
        <v>6358301.06</v>
      </c>
      <c r="K70" s="17"/>
      <c r="L70" s="92">
        <f>VLOOKUP($A70,Deprlot,9,FALSE)</f>
        <v>158958</v>
      </c>
      <c r="M70" s="6"/>
      <c r="N70" s="75">
        <f>Table2!V70</f>
        <v>-10368</v>
      </c>
      <c r="O70" s="25"/>
      <c r="P70" s="73">
        <f t="shared" si="8"/>
        <v>148590</v>
      </c>
      <c r="Q70" s="73"/>
      <c r="R70" s="101">
        <f t="shared" si="9"/>
        <v>2.34</v>
      </c>
    </row>
    <row r="71" spans="1:26" ht="12.75" customHeight="1">
      <c r="A71" s="95">
        <v>391.12</v>
      </c>
      <c r="C71" s="25">
        <v>1780</v>
      </c>
      <c r="E71" s="55"/>
      <c r="F71" s="53" t="s">
        <v>250</v>
      </c>
      <c r="G71" s="53"/>
      <c r="H71" s="51" t="s">
        <v>251</v>
      </c>
      <c r="I71" s="31"/>
      <c r="J71" s="92">
        <f aca="true" t="shared" si="10" ref="J71:J77">VLOOKUP($A71,Deprlot,6,FALSE)</f>
        <v>77036.81</v>
      </c>
      <c r="K71" s="17"/>
      <c r="L71" s="92">
        <f aca="true" t="shared" si="11" ref="L71:L77">VLOOKUP($A71,Deprlot,9,FALSE)</f>
        <v>5138</v>
      </c>
      <c r="M71" s="6"/>
      <c r="N71" s="75">
        <f>Table2!V71</f>
        <v>25509</v>
      </c>
      <c r="P71" s="73">
        <f t="shared" si="8"/>
        <v>30647</v>
      </c>
      <c r="Q71" s="73"/>
      <c r="R71" s="101">
        <f t="shared" si="9"/>
        <v>39.78</v>
      </c>
      <c r="S71" s="31"/>
      <c r="T71" s="31"/>
      <c r="U71" s="31"/>
      <c r="V71" s="31"/>
      <c r="W71" s="31"/>
      <c r="X71" s="31"/>
      <c r="Y71" s="31"/>
      <c r="Z71" s="31"/>
    </row>
    <row r="72" spans="1:26" ht="12.75" customHeight="1">
      <c r="A72" s="95">
        <v>391.3</v>
      </c>
      <c r="C72" s="25">
        <v>1784</v>
      </c>
      <c r="E72" s="55"/>
      <c r="F72" s="53" t="s">
        <v>252</v>
      </c>
      <c r="G72" s="53"/>
      <c r="H72" s="51" t="s">
        <v>253</v>
      </c>
      <c r="I72" s="31"/>
      <c r="J72" s="92">
        <f t="shared" si="10"/>
        <v>1127560.69</v>
      </c>
      <c r="K72" s="17"/>
      <c r="L72" s="92">
        <f t="shared" si="11"/>
        <v>225512</v>
      </c>
      <c r="M72" s="6"/>
      <c r="N72" s="75">
        <f>Table2!V72</f>
        <v>129528</v>
      </c>
      <c r="P72" s="73">
        <f t="shared" si="8"/>
        <v>355040</v>
      </c>
      <c r="Q72" s="73"/>
      <c r="R72" s="101">
        <f t="shared" si="9"/>
        <v>31.49</v>
      </c>
      <c r="S72" s="31"/>
      <c r="T72" s="31"/>
      <c r="U72" s="31"/>
      <c r="V72" s="31"/>
      <c r="W72" s="31"/>
      <c r="X72" s="31"/>
      <c r="Y72" s="31"/>
      <c r="Z72" s="31"/>
    </row>
    <row r="73" spans="1:26" ht="14.25">
      <c r="A73" s="95">
        <v>391.4</v>
      </c>
      <c r="C73" s="35" t="s">
        <v>172</v>
      </c>
      <c r="E73" s="55"/>
      <c r="F73" s="53" t="s">
        <v>254</v>
      </c>
      <c r="G73" s="53"/>
      <c r="H73" s="131" t="s">
        <v>317</v>
      </c>
      <c r="I73" s="31"/>
      <c r="J73" s="92">
        <f t="shared" si="10"/>
        <v>5977486.48</v>
      </c>
      <c r="K73" s="17"/>
      <c r="L73" s="92">
        <f t="shared" si="11"/>
        <v>597749</v>
      </c>
      <c r="M73" s="6"/>
      <c r="N73" s="75">
        <f>Table2!V73</f>
        <v>-108658</v>
      </c>
      <c r="P73" s="73">
        <f t="shared" si="8"/>
        <v>489091</v>
      </c>
      <c r="Q73" s="73"/>
      <c r="R73" s="101">
        <f t="shared" si="9"/>
        <v>8.18</v>
      </c>
      <c r="S73" s="31"/>
      <c r="T73" s="31"/>
      <c r="U73" s="31"/>
      <c r="V73" s="31"/>
      <c r="W73" s="31"/>
      <c r="X73" s="31"/>
      <c r="Y73" s="31"/>
      <c r="Z73" s="31"/>
    </row>
    <row r="74" spans="1:26" ht="12.75" customHeight="1">
      <c r="A74" s="25">
        <v>392</v>
      </c>
      <c r="C74" s="25">
        <v>1781</v>
      </c>
      <c r="E74" s="55"/>
      <c r="F74" s="53" t="s">
        <v>25</v>
      </c>
      <c r="G74" s="53"/>
      <c r="H74" s="51" t="s">
        <v>255</v>
      </c>
      <c r="I74" s="31"/>
      <c r="J74" s="92">
        <f t="shared" si="10"/>
        <v>11944126.05</v>
      </c>
      <c r="K74" s="17"/>
      <c r="L74" s="92">
        <f t="shared" si="11"/>
        <v>799747</v>
      </c>
      <c r="M74" s="6"/>
      <c r="N74" s="75">
        <f>Table2!V74</f>
        <v>49581</v>
      </c>
      <c r="P74" s="73">
        <f t="shared" si="8"/>
        <v>849328</v>
      </c>
      <c r="Q74" s="73"/>
      <c r="R74" s="101">
        <f t="shared" si="9"/>
        <v>7.11</v>
      </c>
      <c r="S74" s="31"/>
      <c r="T74" s="31"/>
      <c r="U74" s="31"/>
      <c r="V74" s="31"/>
      <c r="W74" s="31"/>
      <c r="X74" s="31"/>
      <c r="Y74" s="31"/>
      <c r="Z74" s="31"/>
    </row>
    <row r="75" spans="1:26" ht="12.75" customHeight="1">
      <c r="A75" s="95">
        <v>394</v>
      </c>
      <c r="C75" s="87" t="s">
        <v>65</v>
      </c>
      <c r="D75" s="87"/>
      <c r="E75" s="55"/>
      <c r="F75" s="53" t="s">
        <v>26</v>
      </c>
      <c r="G75" s="53"/>
      <c r="H75" s="51" t="s">
        <v>256</v>
      </c>
      <c r="I75" s="31"/>
      <c r="J75" s="92">
        <f t="shared" si="10"/>
        <v>1115936.44</v>
      </c>
      <c r="K75" s="17"/>
      <c r="L75" s="92">
        <f t="shared" si="11"/>
        <v>55797</v>
      </c>
      <c r="M75" s="6"/>
      <c r="N75" s="75">
        <f>Table2!V75</f>
        <v>27005</v>
      </c>
      <c r="P75" s="73">
        <f t="shared" si="8"/>
        <v>82802</v>
      </c>
      <c r="Q75" s="73"/>
      <c r="R75" s="101">
        <f t="shared" si="9"/>
        <v>7.42</v>
      </c>
      <c r="S75" s="31"/>
      <c r="T75" s="31"/>
      <c r="U75" s="31"/>
      <c r="V75" s="31"/>
      <c r="W75" s="31"/>
      <c r="X75" s="31"/>
      <c r="Y75" s="31"/>
      <c r="Z75" s="31"/>
    </row>
    <row r="76" spans="1:26" ht="12.75" customHeight="1">
      <c r="A76" s="25">
        <v>397</v>
      </c>
      <c r="C76" s="25">
        <v>1760</v>
      </c>
      <c r="E76" s="55"/>
      <c r="F76" s="53" t="s">
        <v>27</v>
      </c>
      <c r="G76" s="53"/>
      <c r="H76" s="51" t="s">
        <v>257</v>
      </c>
      <c r="I76" s="31"/>
      <c r="J76" s="92">
        <f t="shared" si="10"/>
        <v>10214241.58</v>
      </c>
      <c r="K76" s="17"/>
      <c r="L76" s="92">
        <f t="shared" si="11"/>
        <v>489939</v>
      </c>
      <c r="M76" s="6"/>
      <c r="N76" s="75">
        <f>Table2!V76</f>
        <v>-6499</v>
      </c>
      <c r="P76" s="73">
        <f t="shared" si="8"/>
        <v>483440</v>
      </c>
      <c r="Q76" s="73"/>
      <c r="R76" s="101">
        <f t="shared" si="9"/>
        <v>4.73</v>
      </c>
      <c r="S76" s="31"/>
      <c r="T76" s="31"/>
      <c r="U76" s="31"/>
      <c r="V76" s="31"/>
      <c r="W76" s="31"/>
      <c r="X76" s="31"/>
      <c r="Y76" s="31"/>
      <c r="Z76" s="31"/>
    </row>
    <row r="77" spans="1:26" ht="12.75" customHeight="1">
      <c r="A77" s="25">
        <v>397.5</v>
      </c>
      <c r="C77" s="25">
        <v>1763</v>
      </c>
      <c r="E77" s="55"/>
      <c r="F77" s="53" t="s">
        <v>258</v>
      </c>
      <c r="G77" s="53"/>
      <c r="H77" s="51" t="s">
        <v>259</v>
      </c>
      <c r="I77" s="31"/>
      <c r="J77" s="179">
        <f t="shared" si="10"/>
        <v>1815240.61</v>
      </c>
      <c r="K77" s="17"/>
      <c r="L77" s="179">
        <f t="shared" si="11"/>
        <v>106400</v>
      </c>
      <c r="M77" s="6"/>
      <c r="N77" s="76">
        <f>Table2!V77</f>
        <v>-11069</v>
      </c>
      <c r="P77" s="77">
        <f t="shared" si="8"/>
        <v>95331</v>
      </c>
      <c r="Q77" s="73"/>
      <c r="R77" s="101">
        <f t="shared" si="9"/>
        <v>5.25</v>
      </c>
      <c r="S77" s="31"/>
      <c r="T77" s="31"/>
      <c r="U77" s="31"/>
      <c r="V77" s="31"/>
      <c r="W77" s="31"/>
      <c r="X77" s="31"/>
      <c r="Y77" s="31"/>
      <c r="Z77" s="31"/>
    </row>
    <row r="78" spans="5:26" ht="12.75" customHeight="1">
      <c r="E78" s="55" t="s">
        <v>260</v>
      </c>
      <c r="F78" s="54"/>
      <c r="G78" s="54"/>
      <c r="H78" s="55"/>
      <c r="I78" s="55"/>
      <c r="J78" s="183">
        <f>SUBTOTAL(9,J68:J77)</f>
        <v>44514725.77</v>
      </c>
      <c r="K78" s="55"/>
      <c r="L78" s="183">
        <f>SUBTOTAL(9,L68:L77)</f>
        <v>2586360</v>
      </c>
      <c r="M78" s="55"/>
      <c r="N78" s="50">
        <f>SUBTOTAL(9,N68:N77)</f>
        <v>83042</v>
      </c>
      <c r="O78" s="55"/>
      <c r="P78" s="50">
        <f>SUBTOTAL(9,P68:P77)</f>
        <v>2669402</v>
      </c>
      <c r="Q78" s="50"/>
      <c r="R78" s="102">
        <f t="shared" si="9"/>
        <v>6</v>
      </c>
      <c r="S78" s="50"/>
      <c r="T78" s="55"/>
      <c r="U78" s="55"/>
      <c r="V78" s="55"/>
      <c r="W78" s="55"/>
      <c r="X78" s="55"/>
      <c r="Y78" s="55"/>
      <c r="Z78" s="55"/>
    </row>
    <row r="79" spans="10:18" ht="12.75" customHeight="1">
      <c r="J79" s="211"/>
      <c r="L79" s="211"/>
      <c r="N79" s="127"/>
      <c r="P79" s="127"/>
      <c r="Q79" s="25"/>
      <c r="R79" s="101"/>
    </row>
    <row r="80" spans="5:26" ht="12.75" customHeight="1" thickBot="1">
      <c r="E80" s="28" t="s">
        <v>11</v>
      </c>
      <c r="F80" s="54"/>
      <c r="G80" s="54"/>
      <c r="H80" s="55"/>
      <c r="I80" s="55"/>
      <c r="J80" s="121">
        <f>SUBTOTAL(9,J13:J79)</f>
        <v>627104044.0000001</v>
      </c>
      <c r="K80" s="55"/>
      <c r="L80" s="121">
        <f>SUBTOTAL(9,L13:L79)</f>
        <v>22002550</v>
      </c>
      <c r="M80" s="55"/>
      <c r="N80" s="49">
        <f>SUBTOTAL(9,M13:N79)</f>
        <v>6254843</v>
      </c>
      <c r="O80" s="55"/>
      <c r="P80" s="49">
        <f>SUBTOTAL(9,O13:P79)</f>
        <v>28257393</v>
      </c>
      <c r="Q80" s="50"/>
      <c r="R80" s="102">
        <f t="shared" si="9"/>
        <v>4.51</v>
      </c>
      <c r="S80" s="55"/>
      <c r="T80" s="55"/>
      <c r="U80" s="55"/>
      <c r="V80" s="55"/>
      <c r="W80" s="55"/>
      <c r="X80" s="55"/>
      <c r="Y80" s="55"/>
      <c r="Z80" s="55"/>
    </row>
    <row r="81" spans="6:26" ht="12.75" customHeight="1" thickTop="1">
      <c r="F81" s="54"/>
      <c r="G81" s="54"/>
      <c r="H81" s="55"/>
      <c r="I81" s="55"/>
      <c r="J81" s="50"/>
      <c r="K81" s="55"/>
      <c r="L81" s="50"/>
      <c r="M81" s="55"/>
      <c r="N81" s="50"/>
      <c r="O81" s="55"/>
      <c r="P81" s="50"/>
      <c r="Q81" s="50"/>
      <c r="R81" s="102"/>
      <c r="S81" s="55"/>
      <c r="T81" s="55"/>
      <c r="U81" s="55"/>
      <c r="V81" s="55"/>
      <c r="W81" s="55"/>
      <c r="X81" s="55"/>
      <c r="Y81" s="55"/>
      <c r="Z81" s="55"/>
    </row>
    <row r="82" spans="6:26" ht="12.75" customHeight="1">
      <c r="F82" s="54"/>
      <c r="G82" s="54"/>
      <c r="H82" s="55"/>
      <c r="I82" s="55"/>
      <c r="J82" s="50"/>
      <c r="K82" s="55"/>
      <c r="L82" s="50"/>
      <c r="M82" s="55"/>
      <c r="N82" s="50"/>
      <c r="O82" s="55"/>
      <c r="P82" s="50"/>
      <c r="Q82" s="50"/>
      <c r="R82" s="102"/>
      <c r="S82" s="55"/>
      <c r="T82" s="55"/>
      <c r="U82" s="55"/>
      <c r="V82" s="55"/>
      <c r="W82" s="55"/>
      <c r="X82" s="55"/>
      <c r="Y82" s="55"/>
      <c r="Z82" s="55"/>
    </row>
    <row r="83" spans="5:8" ht="12.75" customHeight="1">
      <c r="E83" s="125" t="s">
        <v>318</v>
      </c>
      <c r="F83" s="126"/>
      <c r="G83" s="126"/>
      <c r="H83" s="127"/>
    </row>
    <row r="84" ht="12.75" customHeight="1">
      <c r="E84" s="124"/>
    </row>
    <row r="85" spans="5:8" ht="12.75" customHeight="1">
      <c r="E85" s="124"/>
      <c r="F85" s="53"/>
      <c r="G85" s="53"/>
      <c r="H85" s="31"/>
    </row>
    <row r="86" ht="12.75" customHeight="1" hidden="1" outlineLevel="1"/>
    <row r="87" spans="8:16" ht="12.75" customHeight="1" hidden="1" outlineLevel="1">
      <c r="H87" s="118" t="s">
        <v>169</v>
      </c>
      <c r="J87" s="23">
        <f>Table1!R80</f>
        <v>627104044.0000001</v>
      </c>
      <c r="L87" s="23">
        <f>Table1!T80</f>
        <v>22002550</v>
      </c>
      <c r="N87" s="24">
        <f>Table2!V80</f>
        <v>6254843</v>
      </c>
      <c r="P87" s="24">
        <f>L80+N80</f>
        <v>28257393</v>
      </c>
    </row>
    <row r="88" spans="10:16" ht="12.75" customHeight="1" hidden="1" outlineLevel="1">
      <c r="J88" s="81">
        <f>J87-J80</f>
        <v>0</v>
      </c>
      <c r="K88" s="81"/>
      <c r="L88" s="81">
        <f>L87-L80</f>
        <v>0</v>
      </c>
      <c r="M88" s="81"/>
      <c r="N88" s="81">
        <f>N87-N80</f>
        <v>0</v>
      </c>
      <c r="O88" s="81"/>
      <c r="P88" s="81">
        <f>P87-P80</f>
        <v>0</v>
      </c>
    </row>
    <row r="89" ht="12.75" customHeight="1" hidden="1" outlineLevel="1"/>
    <row r="90" ht="12.75" customHeight="1" hidden="1" outlineLevel="1"/>
    <row r="91" ht="12.75" customHeight="1" hidden="1" outlineLevel="1"/>
    <row r="92" ht="12.75" customHeight="1" hidden="1" outlineLevel="1"/>
    <row r="93" ht="12.75" customHeight="1" hidden="1" outlineLevel="1"/>
    <row r="94" ht="12.75" customHeight="1" hidden="1" outlineLevel="1"/>
    <row r="95" ht="12.75" customHeight="1" hidden="1" outlineLevel="1"/>
    <row r="96" ht="12.75" customHeight="1" collapsed="1"/>
  </sheetData>
  <sheetProtection/>
  <printOptions horizontalCentered="1"/>
  <pageMargins left="0.75" right="0.75" top="1" bottom="1" header="0.5" footer="0.5"/>
  <pageSetup fitToHeight="0" horizontalDpi="600" verticalDpi="600" orientation="landscape" scale="75" r:id="rId1"/>
  <rowBreaks count="1" manualBreakCount="1">
    <brk id="49" min="4" max="17" man="1"/>
  </rowBreaks>
  <ignoredErrors>
    <ignoredError sqref="F24:F77 F16:F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8"/>
  <sheetViews>
    <sheetView tabSelected="1" zoomScale="90" zoomScaleNormal="90" zoomScaleSheetLayoutView="70" zoomScalePageLayoutView="0" workbookViewId="0" topLeftCell="B1">
      <pane ySplit="9" topLeftCell="A10" activePane="bottomLeft" state="frozen"/>
      <selection pane="topLeft" activeCell="AF35" sqref="AF35"/>
      <selection pane="bottomLeft" activeCell="AF35" sqref="AF35"/>
    </sheetView>
  </sheetViews>
  <sheetFormatPr defaultColWidth="9.140625" defaultRowHeight="12.75" customHeight="1" outlineLevelRow="1" outlineLevelCol="1"/>
  <cols>
    <col min="1" max="1" width="9.00390625" style="25" hidden="1" customWidth="1" outlineLevel="1"/>
    <col min="2" max="2" width="2.28125" style="25" customWidth="1" collapsed="1"/>
    <col min="3" max="3" width="16.421875" style="25" bestFit="1" customWidth="1"/>
    <col min="4" max="4" width="3.140625" style="25" customWidth="1"/>
    <col min="5" max="5" width="2.28125" style="28" customWidth="1"/>
    <col min="6" max="6" width="7.00390625" style="26" customWidth="1"/>
    <col min="7" max="7" width="0.85546875" style="26" customWidth="1"/>
    <col min="8" max="8" width="55.8515625" style="25" bestFit="1" customWidth="1"/>
    <col min="9" max="9" width="2.28125" style="25" customWidth="1"/>
    <col min="10" max="10" width="16.140625" style="23" bestFit="1" customWidth="1"/>
    <col min="11" max="11" width="2.28125" style="25" customWidth="1"/>
    <col min="12" max="12" width="4.8515625" style="25" customWidth="1"/>
    <col min="13" max="13" width="1.7109375" style="25" bestFit="1" customWidth="1"/>
    <col min="14" max="14" width="4.8515625" style="25" customWidth="1"/>
    <col min="15" max="15" width="2.28125" style="25" customWidth="1"/>
    <col min="16" max="16" width="8.00390625" style="25" bestFit="1" customWidth="1"/>
    <col min="17" max="17" width="2.421875" style="25" customWidth="1"/>
    <col min="18" max="18" width="9.00390625" style="25" customWidth="1"/>
    <col min="19" max="19" width="2.00390625" style="25" customWidth="1"/>
    <col min="20" max="20" width="12.140625" style="25" bestFit="1" customWidth="1"/>
    <col min="21" max="21" width="2.28125" style="25" customWidth="1"/>
    <col min="22" max="22" width="5.00390625" style="25" customWidth="1"/>
    <col min="23" max="23" width="1.7109375" style="25" bestFit="1" customWidth="1"/>
    <col min="24" max="24" width="5.00390625" style="25" customWidth="1"/>
    <col min="25" max="25" width="2.28125" style="25" customWidth="1"/>
    <col min="26" max="26" width="8.00390625" style="25" bestFit="1" customWidth="1"/>
    <col min="27" max="27" width="1.7109375" style="25" customWidth="1"/>
    <col min="28" max="28" width="10.00390625" style="35" customWidth="1"/>
    <col min="29" max="29" width="2.140625" style="25" customWidth="1"/>
    <col min="30" max="30" width="14.140625" style="23" bestFit="1" customWidth="1"/>
    <col min="31" max="31" width="2.28125" style="25" customWidth="1"/>
    <col min="32" max="32" width="12.140625" style="25" customWidth="1"/>
    <col min="33" max="33" width="2.28125" style="25" customWidth="1"/>
    <col min="34" max="34" width="12.00390625" style="25" bestFit="1" customWidth="1"/>
    <col min="35" max="16384" width="9.140625" style="25" customWidth="1"/>
  </cols>
  <sheetData>
    <row r="1" spans="5:34" ht="12.75" customHeight="1">
      <c r="E1" s="129" t="s">
        <v>28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5:34" ht="12.75" customHeight="1"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5:34" ht="12.75" customHeight="1">
      <c r="E3" s="2" t="s">
        <v>312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5:34" ht="12.75" customHeight="1">
      <c r="E4" s="130" t="s">
        <v>321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5:34" ht="12.75" customHeight="1">
      <c r="E5" s="141"/>
      <c r="F5" s="142"/>
      <c r="G5" s="141"/>
      <c r="H5" s="143"/>
      <c r="I5" s="1"/>
      <c r="J5" s="2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6"/>
      <c r="AC5" s="20"/>
      <c r="AD5" s="33"/>
      <c r="AE5" s="1"/>
      <c r="AF5" s="1"/>
      <c r="AG5" s="1"/>
      <c r="AH5" s="1"/>
    </row>
    <row r="6" spans="5:34" ht="12.75" customHeight="1">
      <c r="E6" s="133"/>
      <c r="F6" s="144"/>
      <c r="G6" s="133"/>
      <c r="H6" s="133"/>
      <c r="I6" s="3"/>
      <c r="J6" s="32"/>
      <c r="K6" s="17"/>
      <c r="L6" s="152" t="s">
        <v>313</v>
      </c>
      <c r="M6" s="238"/>
      <c r="N6" s="238"/>
      <c r="O6" s="238"/>
      <c r="P6" s="238"/>
      <c r="Q6" s="238"/>
      <c r="R6" s="239"/>
      <c r="S6" s="152"/>
      <c r="T6" s="152"/>
      <c r="U6" s="17"/>
      <c r="V6" s="152" t="s">
        <v>314</v>
      </c>
      <c r="W6" s="238"/>
      <c r="X6" s="238"/>
      <c r="Y6" s="238"/>
      <c r="Z6" s="238"/>
      <c r="AA6" s="238"/>
      <c r="AB6" s="152"/>
      <c r="AC6" s="152"/>
      <c r="AD6" s="152"/>
      <c r="AE6" s="3"/>
      <c r="AF6" s="3"/>
      <c r="AG6" s="3"/>
      <c r="AH6" s="3"/>
    </row>
    <row r="7" spans="5:34" ht="14.25">
      <c r="E7" s="133"/>
      <c r="F7" s="144"/>
      <c r="G7" s="133"/>
      <c r="H7" s="133"/>
      <c r="I7" s="3"/>
      <c r="J7" s="32" t="s">
        <v>173</v>
      </c>
      <c r="K7" s="17"/>
      <c r="L7" s="146" t="s">
        <v>178</v>
      </c>
      <c r="M7" s="146"/>
      <c r="N7" s="146"/>
      <c r="O7" s="3"/>
      <c r="P7" s="135"/>
      <c r="Q7" s="135"/>
      <c r="R7" s="152" t="s">
        <v>367</v>
      </c>
      <c r="S7" s="152"/>
      <c r="T7" s="152"/>
      <c r="U7" s="17"/>
      <c r="V7" s="146" t="s">
        <v>178</v>
      </c>
      <c r="W7" s="146"/>
      <c r="X7" s="146"/>
      <c r="Y7" s="3"/>
      <c r="Z7" s="135"/>
      <c r="AA7" s="17"/>
      <c r="AB7" s="152" t="s">
        <v>367</v>
      </c>
      <c r="AC7" s="152"/>
      <c r="AD7" s="152"/>
      <c r="AE7" s="3"/>
      <c r="AF7" s="152" t="s">
        <v>288</v>
      </c>
      <c r="AG7" s="152"/>
      <c r="AH7" s="152"/>
    </row>
    <row r="8" spans="3:34" ht="12.75">
      <c r="C8" s="150" t="s">
        <v>271</v>
      </c>
      <c r="E8" s="2" t="s">
        <v>180</v>
      </c>
      <c r="F8" s="12"/>
      <c r="G8" s="2"/>
      <c r="H8" s="2"/>
      <c r="I8" s="3"/>
      <c r="J8" s="210" t="s">
        <v>322</v>
      </c>
      <c r="K8" s="18"/>
      <c r="L8" s="147" t="s">
        <v>179</v>
      </c>
      <c r="M8" s="147"/>
      <c r="N8" s="147"/>
      <c r="O8" s="3"/>
      <c r="P8" s="236" t="s">
        <v>360</v>
      </c>
      <c r="Q8" s="237"/>
      <c r="R8" s="191" t="s">
        <v>187</v>
      </c>
      <c r="S8" s="18"/>
      <c r="T8" s="191" t="s">
        <v>186</v>
      </c>
      <c r="U8" s="18"/>
      <c r="V8" s="147" t="s">
        <v>179</v>
      </c>
      <c r="W8" s="147"/>
      <c r="X8" s="147"/>
      <c r="Y8" s="3"/>
      <c r="Z8" s="236" t="s">
        <v>360</v>
      </c>
      <c r="AA8" s="18"/>
      <c r="AB8" s="191" t="s">
        <v>187</v>
      </c>
      <c r="AC8" s="18"/>
      <c r="AD8" s="194" t="s">
        <v>186</v>
      </c>
      <c r="AE8" s="3"/>
      <c r="AF8" s="192" t="s">
        <v>186</v>
      </c>
      <c r="AG8" s="133"/>
      <c r="AH8" s="192" t="s">
        <v>315</v>
      </c>
    </row>
    <row r="9" spans="5:34" ht="12.75" customHeight="1">
      <c r="E9" s="4" t="s">
        <v>0</v>
      </c>
      <c r="F9" s="13"/>
      <c r="G9" s="4"/>
      <c r="H9" s="4"/>
      <c r="I9" s="3"/>
      <c r="J9" s="17">
        <v>-2</v>
      </c>
      <c r="K9" s="17"/>
      <c r="L9" s="148" t="s">
        <v>2</v>
      </c>
      <c r="M9" s="148"/>
      <c r="N9" s="148"/>
      <c r="O9" s="3"/>
      <c r="P9" s="134" t="s">
        <v>3</v>
      </c>
      <c r="Q9" s="17"/>
      <c r="R9" s="17">
        <v>-5</v>
      </c>
      <c r="S9" s="17"/>
      <c r="T9" s="17" t="s">
        <v>361</v>
      </c>
      <c r="U9" s="17"/>
      <c r="V9" s="148">
        <v>-7</v>
      </c>
      <c r="W9" s="148"/>
      <c r="X9" s="148"/>
      <c r="Y9" s="3"/>
      <c r="Z9" s="134">
        <v>-8</v>
      </c>
      <c r="AA9" s="17"/>
      <c r="AB9" s="17">
        <v>-9</v>
      </c>
      <c r="AC9" s="17"/>
      <c r="AD9" s="17">
        <v>-10</v>
      </c>
      <c r="AE9" s="3"/>
      <c r="AF9" s="17" t="s">
        <v>365</v>
      </c>
      <c r="AG9" s="3"/>
      <c r="AH9" s="17" t="s">
        <v>366</v>
      </c>
    </row>
    <row r="10" spans="5:34" ht="12.75" customHeight="1">
      <c r="E10" s="122"/>
      <c r="F10" s="145"/>
      <c r="G10" s="122"/>
      <c r="H10" s="122"/>
      <c r="I10" s="6"/>
      <c r="J10" s="3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39"/>
      <c r="AC10" s="17"/>
      <c r="AD10" s="40"/>
      <c r="AE10" s="6"/>
      <c r="AF10" s="6"/>
      <c r="AG10" s="6"/>
      <c r="AH10" s="6"/>
    </row>
    <row r="11" spans="5:34" ht="12.75" customHeight="1">
      <c r="E11" s="30" t="s">
        <v>12</v>
      </c>
      <c r="F11" s="145"/>
      <c r="G11" s="122"/>
      <c r="H11" s="122"/>
      <c r="I11" s="6"/>
      <c r="J11" s="39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39"/>
      <c r="AC11" s="17"/>
      <c r="AD11" s="40"/>
      <c r="AE11" s="6"/>
      <c r="AF11" s="6"/>
      <c r="AG11" s="6"/>
      <c r="AH11" s="6"/>
    </row>
    <row r="12" spans="5:34" ht="12.75" customHeight="1">
      <c r="E12" s="30"/>
      <c r="F12" s="145"/>
      <c r="G12" s="122"/>
      <c r="H12" s="122"/>
      <c r="I12" s="6"/>
      <c r="J12" s="39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39"/>
      <c r="AC12" s="17"/>
      <c r="AD12" s="40"/>
      <c r="AE12" s="6"/>
      <c r="AF12" s="6"/>
      <c r="AG12" s="6"/>
      <c r="AH12" s="6"/>
    </row>
    <row r="13" spans="5:34" ht="12.75" customHeight="1">
      <c r="E13" s="27" t="s">
        <v>191</v>
      </c>
      <c r="F13" s="145"/>
      <c r="G13" s="122"/>
      <c r="H13" s="122"/>
      <c r="I13" s="6"/>
      <c r="J13" s="39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39"/>
      <c r="AC13" s="17"/>
      <c r="AD13" s="40"/>
      <c r="AE13" s="6"/>
      <c r="AF13" s="6"/>
      <c r="AG13" s="6"/>
      <c r="AH13" s="6"/>
    </row>
    <row r="14" spans="5:34" ht="9.75" customHeight="1">
      <c r="E14" s="27"/>
      <c r="F14" s="145"/>
      <c r="G14" s="122"/>
      <c r="H14" s="122"/>
      <c r="I14" s="6"/>
      <c r="J14" s="248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39"/>
      <c r="AC14" s="17"/>
      <c r="AD14" s="40"/>
      <c r="AE14" s="6"/>
      <c r="AF14" s="6"/>
      <c r="AG14" s="6"/>
      <c r="AH14" s="6"/>
    </row>
    <row r="15" spans="6:34" ht="12.75" customHeight="1">
      <c r="F15" s="63" t="s">
        <v>193</v>
      </c>
      <c r="G15" s="122"/>
      <c r="H15" s="122"/>
      <c r="I15" s="6"/>
      <c r="J15" s="248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39"/>
      <c r="AC15" s="17"/>
      <c r="AD15" s="40"/>
      <c r="AE15" s="6"/>
      <c r="AF15" s="6"/>
      <c r="AG15" s="6"/>
      <c r="AH15" s="6"/>
    </row>
    <row r="16" spans="1:34" ht="12.75" customHeight="1">
      <c r="A16" s="25">
        <v>311</v>
      </c>
      <c r="C16" s="25">
        <v>1102</v>
      </c>
      <c r="E16" s="30"/>
      <c r="F16" s="65" t="s">
        <v>194</v>
      </c>
      <c r="G16" s="122"/>
      <c r="H16" s="62" t="s">
        <v>195</v>
      </c>
      <c r="I16" s="6"/>
      <c r="J16" s="92">
        <f>VLOOKUP($A16,Deprlot,6,FALSE)</f>
        <v>9006038.08</v>
      </c>
      <c r="K16" s="67"/>
      <c r="L16" s="216">
        <v>120</v>
      </c>
      <c r="M16" s="18" t="s">
        <v>9</v>
      </c>
      <c r="N16" s="217" t="s">
        <v>362</v>
      </c>
      <c r="O16" s="214"/>
      <c r="P16" s="218">
        <v>-10</v>
      </c>
      <c r="Q16" s="67"/>
      <c r="R16" s="71">
        <f>VLOOKUP($A16,Controls,6,0)*100</f>
        <v>9.35</v>
      </c>
      <c r="S16" s="67"/>
      <c r="T16" s="92">
        <f>ROUND(J16*R16/100,2)</f>
        <v>842064.56</v>
      </c>
      <c r="U16" s="67"/>
      <c r="V16" s="216">
        <f>VLOOKUP($A16,Deprlot,3,FALSE)</f>
        <v>80</v>
      </c>
      <c r="W16" s="18" t="s">
        <v>9</v>
      </c>
      <c r="X16" s="217" t="str">
        <f>TRIM(VLOOKUP($A16,Deprlot,4,FALSE))</f>
        <v>S0</v>
      </c>
      <c r="Y16" s="214"/>
      <c r="Z16" s="218">
        <f>VLOOKUP($A16,Deprlot,5,FALSE)</f>
        <v>-19</v>
      </c>
      <c r="AA16" s="218"/>
      <c r="AB16" s="71">
        <f>Table3!R16</f>
        <v>14.41</v>
      </c>
      <c r="AC16" s="67"/>
      <c r="AD16" s="92">
        <f>Table3!P16</f>
        <v>1297447</v>
      </c>
      <c r="AE16" s="169"/>
      <c r="AF16" s="92">
        <f>AD16-T16</f>
        <v>455382.43999999994</v>
      </c>
      <c r="AG16" s="68"/>
      <c r="AH16" s="196">
        <f>AF16/T16</f>
        <v>0.5407927867193459</v>
      </c>
    </row>
    <row r="17" spans="1:34" ht="12.75" customHeight="1">
      <c r="A17" s="25">
        <v>312</v>
      </c>
      <c r="C17" s="86" t="s">
        <v>62</v>
      </c>
      <c r="D17" s="86"/>
      <c r="E17" s="30"/>
      <c r="F17" s="65" t="s">
        <v>196</v>
      </c>
      <c r="G17" s="122"/>
      <c r="H17" s="62" t="s">
        <v>197</v>
      </c>
      <c r="I17" s="6"/>
      <c r="J17" s="188">
        <f>VLOOKUP($A17,Deprlot,6,FALSE)</f>
        <v>26445979.81</v>
      </c>
      <c r="K17" s="67"/>
      <c r="L17" s="216">
        <v>60</v>
      </c>
      <c r="M17" s="18" t="s">
        <v>9</v>
      </c>
      <c r="N17" s="217" t="s">
        <v>362</v>
      </c>
      <c r="O17" s="214"/>
      <c r="P17" s="218">
        <v>-10</v>
      </c>
      <c r="Q17" s="67"/>
      <c r="R17" s="71">
        <f>VLOOKUP($A17,Controls,6,0)*100</f>
        <v>7.6499999999999995</v>
      </c>
      <c r="S17" s="67"/>
      <c r="T17" s="92">
        <f>ROUND(J17*R17/100,2)</f>
        <v>2023117.46</v>
      </c>
      <c r="U17" s="67"/>
      <c r="V17" s="216">
        <f>VLOOKUP($A17,Deprlot,3,FALSE)</f>
        <v>75</v>
      </c>
      <c r="W17" s="18" t="s">
        <v>9</v>
      </c>
      <c r="X17" s="217" t="str">
        <f>TRIM(VLOOKUP($A17,Deprlot,4,FALSE))</f>
        <v>R2</v>
      </c>
      <c r="Y17" s="214"/>
      <c r="Z17" s="218">
        <f>VLOOKUP($A17,Deprlot,5,FALSE)</f>
        <v>-19</v>
      </c>
      <c r="AA17" s="218"/>
      <c r="AB17" s="71">
        <f>Table3!R17</f>
        <v>11.34</v>
      </c>
      <c r="AC17" s="67"/>
      <c r="AD17" s="92">
        <f>Table3!P17</f>
        <v>2999490</v>
      </c>
      <c r="AE17" s="169"/>
      <c r="AF17" s="92">
        <f>AD17-T17</f>
        <v>976372.54</v>
      </c>
      <c r="AG17" s="68"/>
      <c r="AH17" s="196">
        <f>AF17/T17</f>
        <v>0.48260793518138095</v>
      </c>
    </row>
    <row r="18" spans="1:34" ht="12.75" customHeight="1">
      <c r="A18" s="25">
        <v>314</v>
      </c>
      <c r="C18" s="25">
        <v>1107</v>
      </c>
      <c r="E18" s="30"/>
      <c r="F18" s="65" t="s">
        <v>198</v>
      </c>
      <c r="G18" s="122"/>
      <c r="H18" s="62" t="s">
        <v>199</v>
      </c>
      <c r="I18" s="6"/>
      <c r="J18" s="92"/>
      <c r="K18" s="67"/>
      <c r="L18" s="216"/>
      <c r="M18" s="18"/>
      <c r="N18" s="217"/>
      <c r="O18" s="214"/>
      <c r="P18" s="218"/>
      <c r="Q18" s="67"/>
      <c r="R18" s="71"/>
      <c r="S18" s="67"/>
      <c r="T18" s="92"/>
      <c r="U18" s="67"/>
      <c r="V18" s="216"/>
      <c r="W18" s="18"/>
      <c r="X18" s="217"/>
      <c r="Y18" s="214"/>
      <c r="Z18" s="218"/>
      <c r="AA18" s="218"/>
      <c r="AB18" s="71"/>
      <c r="AC18" s="67"/>
      <c r="AD18" s="92"/>
      <c r="AE18" s="169"/>
      <c r="AF18" s="92"/>
      <c r="AG18" s="68"/>
      <c r="AH18" s="196"/>
    </row>
    <row r="19" spans="1:34" ht="12.75" customHeight="1">
      <c r="A19" s="124" t="s">
        <v>386</v>
      </c>
      <c r="E19" s="30"/>
      <c r="F19" s="65"/>
      <c r="G19" s="122"/>
      <c r="H19" s="243" t="s">
        <v>382</v>
      </c>
      <c r="I19" s="6"/>
      <c r="J19" s="92">
        <f>VLOOKUP($A19,Deprlot,6,FALSE)</f>
        <v>1954690.95</v>
      </c>
      <c r="K19" s="67"/>
      <c r="L19" s="216">
        <v>100</v>
      </c>
      <c r="M19" s="18" t="s">
        <v>9</v>
      </c>
      <c r="N19" s="217" t="s">
        <v>362</v>
      </c>
      <c r="O19" s="214"/>
      <c r="P19" s="218">
        <v>-10</v>
      </c>
      <c r="Q19" s="67"/>
      <c r="R19" s="71">
        <v>8.200000000000001</v>
      </c>
      <c r="S19" s="67"/>
      <c r="T19" s="92">
        <f>ROUND(J19*R19/100,2)</f>
        <v>160284.66</v>
      </c>
      <c r="U19" s="67"/>
      <c r="V19" s="216">
        <f>VLOOKUP($A19,Deprlot,3,FALSE)</f>
        <v>100</v>
      </c>
      <c r="W19" s="18" t="s">
        <v>9</v>
      </c>
      <c r="X19" s="217" t="str">
        <f>TRIM(VLOOKUP($A19,Deprlot,4,FALSE))</f>
        <v>S0</v>
      </c>
      <c r="Y19" s="214"/>
      <c r="Z19" s="218">
        <f>VLOOKUP($A19,Deprlot,5,FALSE)</f>
        <v>-19</v>
      </c>
      <c r="AA19" s="218"/>
      <c r="AB19" s="71">
        <f>Table3!R19</f>
        <v>24.47</v>
      </c>
      <c r="AC19" s="67"/>
      <c r="AD19" s="92">
        <f>Table3!P19</f>
        <v>478347</v>
      </c>
      <c r="AE19" s="169"/>
      <c r="AF19" s="92">
        <f>AD19-T19</f>
        <v>318062.33999999997</v>
      </c>
      <c r="AG19" s="68"/>
      <c r="AH19" s="196">
        <f>AF19/T19</f>
        <v>1.9843592019348575</v>
      </c>
    </row>
    <row r="20" spans="1:34" ht="12.75" customHeight="1">
      <c r="A20" s="124" t="s">
        <v>387</v>
      </c>
      <c r="E20" s="30"/>
      <c r="F20" s="65"/>
      <c r="G20" s="122"/>
      <c r="H20" s="243" t="s">
        <v>383</v>
      </c>
      <c r="I20" s="6"/>
      <c r="J20" s="92">
        <f>VLOOKUP($A20,Deprlot,6,FALSE)</f>
        <v>3909381.9</v>
      </c>
      <c r="K20" s="67"/>
      <c r="L20" s="216">
        <v>100</v>
      </c>
      <c r="M20" s="18" t="s">
        <v>9</v>
      </c>
      <c r="N20" s="217" t="s">
        <v>362</v>
      </c>
      <c r="O20" s="214"/>
      <c r="P20" s="218">
        <v>-10</v>
      </c>
      <c r="Q20" s="67"/>
      <c r="R20" s="71">
        <v>8.200000000000001</v>
      </c>
      <c r="S20" s="67"/>
      <c r="T20" s="92">
        <f>ROUND(J20*R20/100,2)</f>
        <v>320569.32</v>
      </c>
      <c r="U20" s="67"/>
      <c r="V20" s="216">
        <f>VLOOKUP($A20,Deprlot,3,FALSE)</f>
        <v>100</v>
      </c>
      <c r="W20" s="18" t="s">
        <v>9</v>
      </c>
      <c r="X20" s="217" t="str">
        <f>TRIM(VLOOKUP($A20,Deprlot,4,FALSE))</f>
        <v>S0</v>
      </c>
      <c r="Y20" s="214"/>
      <c r="Z20" s="218">
        <f>VLOOKUP($A20,Deprlot,5,FALSE)</f>
        <v>-19</v>
      </c>
      <c r="AA20" s="218"/>
      <c r="AB20" s="71">
        <f>Table3!R20</f>
        <v>17.32</v>
      </c>
      <c r="AC20" s="67"/>
      <c r="AD20" s="92">
        <f>Table3!P20</f>
        <v>677213</v>
      </c>
      <c r="AE20" s="169"/>
      <c r="AF20" s="92">
        <f>AD20-T20</f>
        <v>356643.68</v>
      </c>
      <c r="AG20" s="68"/>
      <c r="AH20" s="196">
        <f>AF20/T20</f>
        <v>1.112532166209792</v>
      </c>
    </row>
    <row r="21" spans="1:34" ht="12.75" customHeight="1">
      <c r="A21" s="124" t="s">
        <v>388</v>
      </c>
      <c r="E21" s="30"/>
      <c r="F21" s="65"/>
      <c r="G21" s="122"/>
      <c r="H21" s="243" t="s">
        <v>384</v>
      </c>
      <c r="I21" s="6"/>
      <c r="J21" s="92">
        <f>VLOOKUP($A21,Deprlot,6,FALSE)</f>
        <v>15637527.64</v>
      </c>
      <c r="K21" s="67"/>
      <c r="L21" s="216">
        <v>100</v>
      </c>
      <c r="M21" s="18" t="s">
        <v>9</v>
      </c>
      <c r="N21" s="217" t="s">
        <v>362</v>
      </c>
      <c r="O21" s="214"/>
      <c r="P21" s="218">
        <v>-10</v>
      </c>
      <c r="Q21" s="67"/>
      <c r="R21" s="71">
        <v>8.200000000000001</v>
      </c>
      <c r="S21" s="67"/>
      <c r="T21" s="92">
        <f>ROUND(J21*R21/100,2)</f>
        <v>1282277.27</v>
      </c>
      <c r="U21" s="67"/>
      <c r="V21" s="216">
        <f>VLOOKUP($A21,Deprlot,3,FALSE)</f>
        <v>100</v>
      </c>
      <c r="W21" s="18" t="s">
        <v>9</v>
      </c>
      <c r="X21" s="217" t="str">
        <f>TRIM(VLOOKUP($A21,Deprlot,4,FALSE))</f>
        <v>S0</v>
      </c>
      <c r="Y21" s="214"/>
      <c r="Z21" s="218">
        <f>VLOOKUP($A21,Deprlot,5,FALSE)</f>
        <v>-19</v>
      </c>
      <c r="AA21" s="218"/>
      <c r="AB21" s="71">
        <f>Table3!R21</f>
        <v>13.7</v>
      </c>
      <c r="AC21" s="67"/>
      <c r="AD21" s="92">
        <f>Table3!P21</f>
        <v>2143061</v>
      </c>
      <c r="AE21" s="169"/>
      <c r="AF21" s="92">
        <f>AD21-T21</f>
        <v>860783.73</v>
      </c>
      <c r="AG21" s="68"/>
      <c r="AH21" s="196">
        <f>AF21/T21</f>
        <v>0.6712929801836072</v>
      </c>
    </row>
    <row r="22" spans="1:34" ht="12.75" customHeight="1">
      <c r="A22" s="25">
        <v>314</v>
      </c>
      <c r="E22" s="30"/>
      <c r="F22" s="65"/>
      <c r="G22" s="122"/>
      <c r="H22" s="244" t="s">
        <v>385</v>
      </c>
      <c r="I22" s="6"/>
      <c r="J22" s="198">
        <f>SUBTOTAL(9,J19:J21)</f>
        <v>21501600.490000002</v>
      </c>
      <c r="K22" s="67"/>
      <c r="L22" s="216"/>
      <c r="M22" s="18"/>
      <c r="N22" s="217"/>
      <c r="O22" s="214"/>
      <c r="P22" s="218"/>
      <c r="Q22" s="67"/>
      <c r="R22" s="71"/>
      <c r="S22" s="67"/>
      <c r="T22" s="92"/>
      <c r="U22" s="67"/>
      <c r="V22" s="216"/>
      <c r="W22" s="18"/>
      <c r="X22" s="217"/>
      <c r="Y22" s="214"/>
      <c r="Z22" s="218"/>
      <c r="AA22" s="218"/>
      <c r="AB22" s="71"/>
      <c r="AC22" s="67"/>
      <c r="AD22" s="92"/>
      <c r="AE22" s="169"/>
      <c r="AF22" s="92"/>
      <c r="AG22" s="68"/>
      <c r="AH22" s="196"/>
    </row>
    <row r="23" spans="5:34" ht="8.25" customHeight="1">
      <c r="E23" s="30"/>
      <c r="F23" s="65"/>
      <c r="G23" s="122"/>
      <c r="H23" s="62"/>
      <c r="I23" s="6"/>
      <c r="J23" s="92"/>
      <c r="K23" s="67"/>
      <c r="L23" s="216"/>
      <c r="M23" s="18"/>
      <c r="N23" s="217"/>
      <c r="O23" s="214"/>
      <c r="P23" s="218"/>
      <c r="Q23" s="67"/>
      <c r="R23" s="71"/>
      <c r="S23" s="67"/>
      <c r="T23" s="92"/>
      <c r="U23" s="67"/>
      <c r="V23" s="216"/>
      <c r="W23" s="18"/>
      <c r="X23" s="217"/>
      <c r="Y23" s="214"/>
      <c r="Z23" s="218"/>
      <c r="AA23" s="218"/>
      <c r="AB23" s="71"/>
      <c r="AC23" s="67"/>
      <c r="AD23" s="92"/>
      <c r="AE23" s="169"/>
      <c r="AF23" s="92"/>
      <c r="AG23" s="68"/>
      <c r="AH23" s="196"/>
    </row>
    <row r="24" spans="1:34" ht="12.75" customHeight="1">
      <c r="A24" s="25">
        <v>315</v>
      </c>
      <c r="C24" s="25">
        <v>1113</v>
      </c>
      <c r="E24" s="30"/>
      <c r="F24" s="65" t="s">
        <v>200</v>
      </c>
      <c r="G24" s="122"/>
      <c r="H24" s="62" t="s">
        <v>201</v>
      </c>
      <c r="I24" s="6"/>
      <c r="J24" s="92">
        <f>VLOOKUP($A24,Deprlot,6,FALSE)</f>
        <v>2283113.25</v>
      </c>
      <c r="K24" s="67"/>
      <c r="L24" s="216">
        <v>80</v>
      </c>
      <c r="M24" s="18" t="s">
        <v>9</v>
      </c>
      <c r="N24" s="217" t="s">
        <v>363</v>
      </c>
      <c r="O24" s="214"/>
      <c r="P24" s="218">
        <v>-10</v>
      </c>
      <c r="Q24" s="67"/>
      <c r="R24" s="71">
        <f>VLOOKUP($A24,Controls,6,0)*100</f>
        <v>5.140000000000001</v>
      </c>
      <c r="S24" s="67"/>
      <c r="T24" s="92">
        <f>ROUND(J24*R24/100,2)</f>
        <v>117352.02</v>
      </c>
      <c r="U24" s="67"/>
      <c r="V24" s="216">
        <f>VLOOKUP($A24,Deprlot,3,FALSE)</f>
        <v>80</v>
      </c>
      <c r="W24" s="18" t="s">
        <v>9</v>
      </c>
      <c r="X24" s="217" t="str">
        <f>TRIM(VLOOKUP($A24,Deprlot,4,FALSE))</f>
        <v>R2</v>
      </c>
      <c r="Y24" s="214"/>
      <c r="Z24" s="218">
        <f>VLOOKUP($A24,Deprlot,5,FALSE)</f>
        <v>-19</v>
      </c>
      <c r="AA24" s="218"/>
      <c r="AB24" s="71">
        <f>Table3!R24</f>
        <v>7.99</v>
      </c>
      <c r="AC24" s="67"/>
      <c r="AD24" s="92">
        <f>Table3!P24</f>
        <v>182398</v>
      </c>
      <c r="AE24" s="169"/>
      <c r="AF24" s="92">
        <f>AD24-T24</f>
        <v>65045.979999999996</v>
      </c>
      <c r="AG24" s="68"/>
      <c r="AH24" s="196">
        <f>AF24/T24</f>
        <v>0.5542808721997285</v>
      </c>
    </row>
    <row r="25" spans="1:34" ht="12.75" customHeight="1">
      <c r="A25" s="25">
        <v>316</v>
      </c>
      <c r="C25" s="87" t="s">
        <v>63</v>
      </c>
      <c r="D25" s="87"/>
      <c r="E25" s="30"/>
      <c r="F25" s="65" t="s">
        <v>202</v>
      </c>
      <c r="G25" s="122"/>
      <c r="H25" s="62" t="s">
        <v>203</v>
      </c>
      <c r="I25" s="6"/>
      <c r="J25" s="179">
        <f>VLOOKUP($A25,Deprlot,6,FALSE)</f>
        <v>1512886.51</v>
      </c>
      <c r="K25" s="67"/>
      <c r="L25" s="216">
        <v>70</v>
      </c>
      <c r="M25" s="18" t="s">
        <v>9</v>
      </c>
      <c r="N25" s="217" t="s">
        <v>364</v>
      </c>
      <c r="O25" s="214"/>
      <c r="P25" s="218">
        <v>-10</v>
      </c>
      <c r="Q25" s="67"/>
      <c r="R25" s="71">
        <f>VLOOKUP($A25,Controls,6,0)*100</f>
        <v>6.99</v>
      </c>
      <c r="S25" s="67"/>
      <c r="T25" s="92">
        <f>ROUND(J25*R25/100,2)</f>
        <v>105750.77</v>
      </c>
      <c r="U25" s="67"/>
      <c r="V25" s="216">
        <f>VLOOKUP($A25,Deprlot,3,FALSE)</f>
        <v>70</v>
      </c>
      <c r="W25" s="18" t="s">
        <v>9</v>
      </c>
      <c r="X25" s="217" t="str">
        <f>TRIM(VLOOKUP($A25,Deprlot,4,FALSE))</f>
        <v>L0</v>
      </c>
      <c r="Y25" s="214"/>
      <c r="Z25" s="218">
        <f>VLOOKUP($A25,Deprlot,5,FALSE)</f>
        <v>-19</v>
      </c>
      <c r="AA25" s="218"/>
      <c r="AB25" s="71">
        <f>Table3!R25</f>
        <v>10.18</v>
      </c>
      <c r="AC25" s="67"/>
      <c r="AD25" s="92">
        <f>Table3!P25</f>
        <v>154072</v>
      </c>
      <c r="AE25" s="169"/>
      <c r="AF25" s="92">
        <f>AD25-T25</f>
        <v>48321.229999999996</v>
      </c>
      <c r="AG25" s="68"/>
      <c r="AH25" s="196">
        <f>AF25/T25</f>
        <v>0.456935018061807</v>
      </c>
    </row>
    <row r="26" spans="5:34" ht="12.75" customHeight="1">
      <c r="E26" s="30"/>
      <c r="F26" s="145"/>
      <c r="G26" s="122"/>
      <c r="H26" s="122"/>
      <c r="I26" s="6"/>
      <c r="J26" s="169"/>
      <c r="K26" s="67"/>
      <c r="L26" s="216"/>
      <c r="M26" s="18"/>
      <c r="N26" s="217"/>
      <c r="O26" s="67"/>
      <c r="P26" s="218"/>
      <c r="Q26" s="67"/>
      <c r="R26" s="71"/>
      <c r="S26" s="67"/>
      <c r="T26" s="256"/>
      <c r="U26" s="67"/>
      <c r="V26" s="67"/>
      <c r="W26" s="67"/>
      <c r="X26" s="67"/>
      <c r="Y26" s="67"/>
      <c r="Z26" s="67"/>
      <c r="AA26" s="67"/>
      <c r="AB26" s="69"/>
      <c r="AC26" s="67"/>
      <c r="AD26" s="258"/>
      <c r="AE26" s="169"/>
      <c r="AF26" s="258"/>
      <c r="AG26" s="68"/>
      <c r="AH26" s="68"/>
    </row>
    <row r="27" spans="5:34" ht="12.75" customHeight="1">
      <c r="E27" s="27" t="s">
        <v>204</v>
      </c>
      <c r="F27" s="145"/>
      <c r="G27" s="122"/>
      <c r="H27" s="122"/>
      <c r="I27" s="6"/>
      <c r="J27" s="169">
        <f>SUBTOTAL(9,J16:J25)</f>
        <v>60749618.14</v>
      </c>
      <c r="K27" s="67"/>
      <c r="L27" s="216"/>
      <c r="M27" s="18"/>
      <c r="N27" s="217"/>
      <c r="O27" s="67"/>
      <c r="P27" s="218"/>
      <c r="Q27" s="67"/>
      <c r="R27" s="69">
        <f>ROUND(T27/J27*100,2)</f>
        <v>7.99</v>
      </c>
      <c r="S27" s="67"/>
      <c r="T27" s="169">
        <f>SUBTOTAL(9,T16:T25)</f>
        <v>4851416.059999999</v>
      </c>
      <c r="U27" s="67"/>
      <c r="V27" s="67"/>
      <c r="W27" s="67"/>
      <c r="X27" s="67"/>
      <c r="Y27" s="67"/>
      <c r="Z27" s="67"/>
      <c r="AA27" s="67"/>
      <c r="AB27" s="69">
        <f>ROUND(AD27/J27*100,2)</f>
        <v>13.06</v>
      </c>
      <c r="AC27" s="67"/>
      <c r="AD27" s="169">
        <f>SUBTOTAL(9,AD16:AD25)</f>
        <v>7932028</v>
      </c>
      <c r="AE27" s="169"/>
      <c r="AF27" s="169">
        <f>SUBTOTAL(9,AF16:AF25)</f>
        <v>3080611.94</v>
      </c>
      <c r="AG27" s="68"/>
      <c r="AH27" s="195">
        <f>AF27/T27</f>
        <v>0.6349923201598175</v>
      </c>
    </row>
    <row r="28" spans="5:34" ht="12.75" customHeight="1">
      <c r="E28" s="30"/>
      <c r="F28" s="145"/>
      <c r="G28" s="122"/>
      <c r="H28" s="122"/>
      <c r="I28" s="6"/>
      <c r="J28" s="169"/>
      <c r="K28" s="67"/>
      <c r="L28" s="216"/>
      <c r="M28" s="18"/>
      <c r="N28" s="217"/>
      <c r="O28" s="67"/>
      <c r="P28" s="218"/>
      <c r="Q28" s="67"/>
      <c r="R28" s="71"/>
      <c r="S28" s="67"/>
      <c r="T28" s="245"/>
      <c r="U28" s="67"/>
      <c r="V28" s="67"/>
      <c r="W28" s="67"/>
      <c r="X28" s="67"/>
      <c r="Y28" s="67"/>
      <c r="Z28" s="67"/>
      <c r="AA28" s="67"/>
      <c r="AB28" s="69"/>
      <c r="AC28" s="67"/>
      <c r="AD28" s="246"/>
      <c r="AE28" s="169"/>
      <c r="AF28" s="169"/>
      <c r="AG28" s="68"/>
      <c r="AH28" s="68"/>
    </row>
    <row r="29" spans="5:34" s="31" customFormat="1" ht="12.75" customHeight="1">
      <c r="E29" s="55" t="s">
        <v>205</v>
      </c>
      <c r="F29" s="53"/>
      <c r="G29" s="53"/>
      <c r="J29" s="189"/>
      <c r="K29" s="52"/>
      <c r="L29" s="216"/>
      <c r="M29" s="18"/>
      <c r="N29" s="217"/>
      <c r="O29" s="52"/>
      <c r="P29" s="218"/>
      <c r="Q29" s="52"/>
      <c r="R29" s="71"/>
      <c r="S29" s="52"/>
      <c r="T29" s="189"/>
      <c r="U29" s="52"/>
      <c r="V29" s="52"/>
      <c r="W29" s="52"/>
      <c r="X29" s="52"/>
      <c r="Y29" s="52"/>
      <c r="Z29" s="52"/>
      <c r="AA29" s="52"/>
      <c r="AB29" s="57"/>
      <c r="AC29" s="52"/>
      <c r="AD29" s="189"/>
      <c r="AE29" s="189"/>
      <c r="AF29" s="189"/>
      <c r="AG29" s="52"/>
      <c r="AH29" s="52"/>
    </row>
    <row r="30" spans="5:34" s="31" customFormat="1" ht="12.75" customHeight="1">
      <c r="E30" s="55"/>
      <c r="F30" s="53"/>
      <c r="G30" s="53"/>
      <c r="J30" s="189"/>
      <c r="K30" s="52"/>
      <c r="L30" s="216"/>
      <c r="M30" s="18"/>
      <c r="N30" s="217"/>
      <c r="O30" s="52"/>
      <c r="P30" s="218"/>
      <c r="Q30" s="52"/>
      <c r="R30" s="71"/>
      <c r="S30" s="52"/>
      <c r="T30" s="189"/>
      <c r="U30" s="52"/>
      <c r="V30" s="52"/>
      <c r="W30" s="52"/>
      <c r="X30" s="52"/>
      <c r="Y30" s="52"/>
      <c r="Z30" s="52"/>
      <c r="AA30" s="52"/>
      <c r="AB30" s="57"/>
      <c r="AC30" s="52"/>
      <c r="AD30" s="189"/>
      <c r="AE30" s="189"/>
      <c r="AF30" s="189"/>
      <c r="AG30" s="52"/>
      <c r="AH30" s="52"/>
    </row>
    <row r="31" spans="5:34" s="31" customFormat="1" ht="12.75" customHeight="1">
      <c r="E31" s="55"/>
      <c r="F31" s="64" t="s">
        <v>206</v>
      </c>
      <c r="G31" s="53"/>
      <c r="J31" s="189"/>
      <c r="K31" s="52"/>
      <c r="L31" s="216"/>
      <c r="M31" s="18"/>
      <c r="N31" s="217"/>
      <c r="O31" s="52"/>
      <c r="P31" s="218"/>
      <c r="Q31" s="52"/>
      <c r="R31" s="71"/>
      <c r="S31" s="52"/>
      <c r="T31" s="189"/>
      <c r="U31" s="52"/>
      <c r="V31" s="52"/>
      <c r="W31" s="52"/>
      <c r="X31" s="52"/>
      <c r="Y31" s="52"/>
      <c r="Z31" s="52"/>
      <c r="AA31" s="52"/>
      <c r="AB31" s="57"/>
      <c r="AC31" s="52"/>
      <c r="AD31" s="189"/>
      <c r="AE31" s="189"/>
      <c r="AF31" s="189"/>
      <c r="AG31" s="52"/>
      <c r="AH31" s="52"/>
    </row>
    <row r="32" spans="1:34" s="31" customFormat="1" ht="12.75" customHeight="1">
      <c r="A32" s="25">
        <v>341</v>
      </c>
      <c r="B32" s="25"/>
      <c r="C32" s="31">
        <v>1202</v>
      </c>
      <c r="E32" s="55"/>
      <c r="F32" s="53" t="s">
        <v>13</v>
      </c>
      <c r="G32" s="53"/>
      <c r="H32" s="51" t="s">
        <v>207</v>
      </c>
      <c r="J32" s="92">
        <f>VLOOKUP($A32,Deprlot,6,FALSE)</f>
        <v>481305.81</v>
      </c>
      <c r="K32" s="67"/>
      <c r="L32" s="216">
        <v>70</v>
      </c>
      <c r="M32" s="18" t="s">
        <v>9</v>
      </c>
      <c r="N32" s="217" t="s">
        <v>362</v>
      </c>
      <c r="O32" s="67"/>
      <c r="P32" s="218">
        <v>-3</v>
      </c>
      <c r="Q32" s="67"/>
      <c r="R32" s="71">
        <f>VLOOKUP($A32,Controls,6,0)*100</f>
        <v>3.38</v>
      </c>
      <c r="S32" s="67"/>
      <c r="T32" s="92">
        <f>ROUND(J32*R32/100,2)</f>
        <v>16268.14</v>
      </c>
      <c r="U32" s="67"/>
      <c r="V32" s="216">
        <f>VLOOKUP($A32,Deprlot,3,FALSE)</f>
        <v>70</v>
      </c>
      <c r="W32" s="18" t="s">
        <v>9</v>
      </c>
      <c r="X32" s="217" t="str">
        <f>TRIM(VLOOKUP($A32,Deprlot,4,FALSE))</f>
        <v>S0</v>
      </c>
      <c r="Y32" s="214"/>
      <c r="Z32" s="218">
        <f>VLOOKUP($A32,Deprlot,5,FALSE)</f>
        <v>-3</v>
      </c>
      <c r="AA32" s="218"/>
      <c r="AB32" s="71">
        <f>ROUND(AD32/J32*100,2)</f>
        <v>2.92</v>
      </c>
      <c r="AC32" s="67"/>
      <c r="AD32" s="92">
        <f>VLOOKUP($A32,Deprlot,9,FALSE)</f>
        <v>14050</v>
      </c>
      <c r="AE32" s="169"/>
      <c r="AF32" s="92">
        <f>AD32-T32</f>
        <v>-2218.1399999999994</v>
      </c>
      <c r="AG32" s="68"/>
      <c r="AH32" s="196">
        <f>AF32/T32</f>
        <v>-0.13634871595646456</v>
      </c>
    </row>
    <row r="33" spans="1:34" s="31" customFormat="1" ht="12.75" customHeight="1">
      <c r="A33" s="95" t="s">
        <v>90</v>
      </c>
      <c r="B33" s="25"/>
      <c r="C33" s="31">
        <v>1209</v>
      </c>
      <c r="E33" s="55"/>
      <c r="F33" s="53" t="s">
        <v>14</v>
      </c>
      <c r="G33" s="53"/>
      <c r="H33" s="51" t="s">
        <v>208</v>
      </c>
      <c r="J33" s="92">
        <f>VLOOKUP($A33,Deprlot,6,FALSE)</f>
        <v>12865544.8</v>
      </c>
      <c r="K33" s="67"/>
      <c r="L33" s="216">
        <v>70</v>
      </c>
      <c r="M33" s="18" t="s">
        <v>9</v>
      </c>
      <c r="N33" s="217" t="s">
        <v>368</v>
      </c>
      <c r="O33" s="67"/>
      <c r="P33" s="218">
        <v>-3</v>
      </c>
      <c r="Q33" s="67"/>
      <c r="R33" s="71">
        <f>VLOOKUP($A33,Controls,6,0)*100</f>
        <v>4.88</v>
      </c>
      <c r="S33" s="67"/>
      <c r="T33" s="92">
        <f>ROUND(J33*R33/100,2)</f>
        <v>627838.59</v>
      </c>
      <c r="U33" s="67"/>
      <c r="V33" s="216">
        <f>VLOOKUP($A33,Deprlot,3,FALSE)</f>
        <v>65</v>
      </c>
      <c r="W33" s="18" t="s">
        <v>9</v>
      </c>
      <c r="X33" s="217" t="str">
        <f>TRIM(VLOOKUP($A33,Deprlot,4,FALSE))</f>
        <v>S0.5</v>
      </c>
      <c r="Y33" s="214"/>
      <c r="Z33" s="218">
        <f>VLOOKUP($A33,Deprlot,5,FALSE)</f>
        <v>-3</v>
      </c>
      <c r="AA33" s="218"/>
      <c r="AB33" s="71">
        <f>ROUND(AD33/J33*100,2)</f>
        <v>4.16</v>
      </c>
      <c r="AC33" s="67"/>
      <c r="AD33" s="92">
        <f>VLOOKUP($A33,Deprlot,9,FALSE)</f>
        <v>535707</v>
      </c>
      <c r="AE33" s="169"/>
      <c r="AF33" s="92">
        <f>AD33-T33</f>
        <v>-92131.58999999997</v>
      </c>
      <c r="AG33" s="68"/>
      <c r="AH33" s="196">
        <f>AF33/T33</f>
        <v>-0.14674407000053943</v>
      </c>
    </row>
    <row r="34" spans="1:34" s="31" customFormat="1" ht="12.75" customHeight="1">
      <c r="A34" s="25">
        <v>346</v>
      </c>
      <c r="B34" s="25"/>
      <c r="C34" s="31">
        <v>1215</v>
      </c>
      <c r="E34" s="55"/>
      <c r="F34" s="53" t="s">
        <v>15</v>
      </c>
      <c r="G34" s="53"/>
      <c r="H34" s="62" t="s">
        <v>203</v>
      </c>
      <c r="J34" s="179">
        <f>VLOOKUP($A34,Deprlot,6,FALSE)</f>
        <v>320115.73</v>
      </c>
      <c r="K34" s="67"/>
      <c r="L34" s="220" t="s">
        <v>294</v>
      </c>
      <c r="M34" s="221"/>
      <c r="N34" s="220"/>
      <c r="O34" s="67"/>
      <c r="P34" s="218">
        <v>-3</v>
      </c>
      <c r="Q34" s="67"/>
      <c r="R34" s="71">
        <f>VLOOKUP($A34,Controls,6,0)*100</f>
        <v>4.3</v>
      </c>
      <c r="S34" s="67"/>
      <c r="T34" s="92">
        <f>ROUND(J34*R34/100,2)</f>
        <v>13764.98</v>
      </c>
      <c r="U34" s="67"/>
      <c r="V34" s="216">
        <f>VLOOKUP($A34,Deprlot,3,FALSE)</f>
        <v>30</v>
      </c>
      <c r="W34" s="18" t="s">
        <v>9</v>
      </c>
      <c r="X34" s="217" t="str">
        <f>TRIM(VLOOKUP($A34,Deprlot,4,FALSE))</f>
        <v>L3</v>
      </c>
      <c r="Y34" s="214"/>
      <c r="Z34" s="218">
        <f>VLOOKUP($A34,Deprlot,5,FALSE)</f>
        <v>-3</v>
      </c>
      <c r="AA34" s="218"/>
      <c r="AB34" s="71">
        <f>ROUND(AD34/J34*100,2)</f>
        <v>4.08</v>
      </c>
      <c r="AC34" s="67"/>
      <c r="AD34" s="92">
        <f>VLOOKUP($A34,Deprlot,9,FALSE)</f>
        <v>13054</v>
      </c>
      <c r="AE34" s="169"/>
      <c r="AF34" s="92">
        <f>AD34-T34</f>
        <v>-710.9799999999996</v>
      </c>
      <c r="AG34" s="68"/>
      <c r="AH34" s="196">
        <f>AF34/T34</f>
        <v>-0.05165136454974868</v>
      </c>
    </row>
    <row r="35" spans="1:34" s="31" customFormat="1" ht="12.75" customHeight="1">
      <c r="A35" s="25"/>
      <c r="B35" s="25"/>
      <c r="E35" s="55"/>
      <c r="F35" s="165" t="s">
        <v>209</v>
      </c>
      <c r="G35" s="193"/>
      <c r="H35" s="62"/>
      <c r="I35" s="131"/>
      <c r="J35" s="166">
        <f>SUBTOTAL(9,J32:J34)</f>
        <v>13666966.340000002</v>
      </c>
      <c r="K35" s="197"/>
      <c r="L35" s="216"/>
      <c r="M35" s="18"/>
      <c r="N35" s="217"/>
      <c r="O35" s="197"/>
      <c r="P35" s="218"/>
      <c r="Q35" s="197"/>
      <c r="R35" s="167">
        <f>ROUND(T35/J35*100,2)</f>
        <v>4.81</v>
      </c>
      <c r="S35" s="197"/>
      <c r="T35" s="198">
        <f>SUBTOTAL(9,T32:T34)</f>
        <v>657871.71</v>
      </c>
      <c r="U35" s="197"/>
      <c r="V35" s="197"/>
      <c r="W35" s="197"/>
      <c r="X35" s="197"/>
      <c r="Y35" s="197"/>
      <c r="Z35" s="197"/>
      <c r="AA35" s="197"/>
      <c r="AB35" s="167">
        <f>ROUND(AD35/J35*100,2)</f>
        <v>4.12</v>
      </c>
      <c r="AC35" s="197"/>
      <c r="AD35" s="198">
        <f>SUBTOTAL(9,AD32:AD34)</f>
        <v>562811</v>
      </c>
      <c r="AE35" s="166"/>
      <c r="AF35" s="198">
        <f>SUBTOTAL(9,AF32:AF34)</f>
        <v>-95060.70999999996</v>
      </c>
      <c r="AG35" s="199"/>
      <c r="AH35" s="200">
        <f>AF35/T35</f>
        <v>-0.1444973367223831</v>
      </c>
    </row>
    <row r="36" spans="1:34" s="31" customFormat="1" ht="12.75" customHeight="1">
      <c r="A36" s="25"/>
      <c r="B36" s="25"/>
      <c r="E36" s="55"/>
      <c r="F36" s="53" t="s">
        <v>192</v>
      </c>
      <c r="G36" s="53"/>
      <c r="H36" s="62"/>
      <c r="J36" s="92"/>
      <c r="K36" s="67"/>
      <c r="L36" s="216"/>
      <c r="M36" s="18"/>
      <c r="N36" s="217"/>
      <c r="O36" s="67"/>
      <c r="P36" s="218"/>
      <c r="Q36" s="67"/>
      <c r="R36" s="71"/>
      <c r="S36" s="67"/>
      <c r="T36" s="245"/>
      <c r="U36" s="67"/>
      <c r="V36" s="67"/>
      <c r="W36" s="67"/>
      <c r="X36" s="67"/>
      <c r="Y36" s="67"/>
      <c r="Z36" s="67"/>
      <c r="AA36" s="67"/>
      <c r="AB36" s="71"/>
      <c r="AC36" s="67"/>
      <c r="AD36" s="92"/>
      <c r="AE36" s="169"/>
      <c r="AF36" s="169"/>
      <c r="AG36" s="68"/>
      <c r="AH36" s="68"/>
    </row>
    <row r="37" spans="1:34" s="31" customFormat="1" ht="12.75" customHeight="1">
      <c r="A37" s="25"/>
      <c r="B37" s="25"/>
      <c r="E37" s="55"/>
      <c r="F37" s="64" t="s">
        <v>210</v>
      </c>
      <c r="G37" s="53"/>
      <c r="H37" s="62"/>
      <c r="J37" s="92"/>
      <c r="K37" s="67"/>
      <c r="L37" s="216"/>
      <c r="M37" s="18"/>
      <c r="N37" s="217"/>
      <c r="O37" s="67"/>
      <c r="P37" s="218"/>
      <c r="Q37" s="67"/>
      <c r="R37" s="71"/>
      <c r="S37" s="67"/>
      <c r="T37" s="245"/>
      <c r="U37" s="67"/>
      <c r="V37" s="67"/>
      <c r="W37" s="67"/>
      <c r="X37" s="67"/>
      <c r="Y37" s="67"/>
      <c r="Z37" s="67"/>
      <c r="AA37" s="67"/>
      <c r="AB37" s="71"/>
      <c r="AC37" s="67"/>
      <c r="AD37" s="92"/>
      <c r="AE37" s="169"/>
      <c r="AF37" s="169"/>
      <c r="AG37" s="68"/>
      <c r="AH37" s="68"/>
    </row>
    <row r="38" spans="1:34" s="31" customFormat="1" ht="12.75" customHeight="1">
      <c r="A38" s="95" t="s">
        <v>91</v>
      </c>
      <c r="B38" s="25"/>
      <c r="C38" s="91" t="s">
        <v>67</v>
      </c>
      <c r="E38" s="55"/>
      <c r="F38" s="53" t="s">
        <v>14</v>
      </c>
      <c r="G38" s="53"/>
      <c r="H38" s="51" t="s">
        <v>208</v>
      </c>
      <c r="J38" s="179">
        <f>VLOOKUP($A38,Deprlot,6,FALSE)</f>
        <v>35297120.5</v>
      </c>
      <c r="K38" s="67"/>
      <c r="L38" s="216">
        <v>70</v>
      </c>
      <c r="M38" s="18" t="s">
        <v>9</v>
      </c>
      <c r="N38" s="217" t="s">
        <v>368</v>
      </c>
      <c r="O38" s="67"/>
      <c r="P38" s="218">
        <v>-3</v>
      </c>
      <c r="Q38" s="67"/>
      <c r="R38" s="71">
        <f>VLOOKUP($A38,Controls,6,0)*100</f>
        <v>2.2800000000000002</v>
      </c>
      <c r="S38" s="67"/>
      <c r="T38" s="92">
        <f>ROUND(J38*R38/100,2)</f>
        <v>804774.35</v>
      </c>
      <c r="U38" s="67"/>
      <c r="V38" s="216">
        <f>VLOOKUP($A38,Deprlot,3,FALSE)</f>
        <v>65</v>
      </c>
      <c r="W38" s="18" t="s">
        <v>9</v>
      </c>
      <c r="X38" s="217" t="str">
        <f>TRIM(VLOOKUP($A38,Deprlot,4,FALSE))</f>
        <v>S0.5</v>
      </c>
      <c r="Y38" s="214"/>
      <c r="Z38" s="218">
        <f>VLOOKUP($A38,Deprlot,5,FALSE)</f>
        <v>-3</v>
      </c>
      <c r="AA38" s="218"/>
      <c r="AB38" s="71">
        <f>ROUND(AD38/J38*100,2)</f>
        <v>2.34</v>
      </c>
      <c r="AC38" s="67"/>
      <c r="AD38" s="92">
        <f>VLOOKUP($A38,Deprlot,9,FALSE)</f>
        <v>824633</v>
      </c>
      <c r="AE38" s="169"/>
      <c r="AF38" s="92">
        <f>AD38-T38</f>
        <v>19858.650000000023</v>
      </c>
      <c r="AG38" s="68"/>
      <c r="AH38" s="196">
        <f>AF38/T38</f>
        <v>0.024676047391420992</v>
      </c>
    </row>
    <row r="39" spans="1:34" s="31" customFormat="1" ht="12.75" customHeight="1">
      <c r="A39" s="25"/>
      <c r="B39" s="25"/>
      <c r="E39" s="55"/>
      <c r="F39" s="53"/>
      <c r="G39" s="53"/>
      <c r="H39" s="51"/>
      <c r="J39" s="189"/>
      <c r="K39" s="52"/>
      <c r="L39" s="216"/>
      <c r="M39" s="18"/>
      <c r="N39" s="217"/>
      <c r="O39" s="52"/>
      <c r="P39" s="218"/>
      <c r="Q39" s="52"/>
      <c r="R39" s="71"/>
      <c r="S39" s="52"/>
      <c r="T39" s="257"/>
      <c r="U39" s="52"/>
      <c r="V39" s="52"/>
      <c r="W39" s="52"/>
      <c r="X39" s="52"/>
      <c r="Y39" s="52"/>
      <c r="Z39" s="52"/>
      <c r="AA39" s="52"/>
      <c r="AB39" s="57"/>
      <c r="AC39" s="52"/>
      <c r="AD39" s="257"/>
      <c r="AE39" s="189"/>
      <c r="AF39" s="257"/>
      <c r="AG39" s="52"/>
      <c r="AH39" s="52"/>
    </row>
    <row r="40" spans="5:34" s="55" customFormat="1" ht="12.75" customHeight="1">
      <c r="E40" s="55" t="s">
        <v>211</v>
      </c>
      <c r="F40" s="54"/>
      <c r="G40" s="54"/>
      <c r="J40" s="93">
        <f>SUBTOTAL(9,J32:J38)</f>
        <v>48964086.84</v>
      </c>
      <c r="K40" s="56"/>
      <c r="L40" s="216"/>
      <c r="M40" s="18"/>
      <c r="N40" s="217"/>
      <c r="O40" s="56"/>
      <c r="P40" s="218"/>
      <c r="Q40" s="56"/>
      <c r="R40" s="69">
        <f>ROUND(T40/J40*100,2)</f>
        <v>2.99</v>
      </c>
      <c r="S40" s="56"/>
      <c r="T40" s="93">
        <f>SUBTOTAL(9,T32:T38)</f>
        <v>1462646.06</v>
      </c>
      <c r="U40" s="56"/>
      <c r="V40" s="56"/>
      <c r="W40" s="56"/>
      <c r="X40" s="56"/>
      <c r="Y40" s="56"/>
      <c r="Z40" s="56"/>
      <c r="AA40" s="56"/>
      <c r="AB40" s="69">
        <f>ROUND(AD40/J40*100,2)</f>
        <v>2.83</v>
      </c>
      <c r="AC40" s="56"/>
      <c r="AD40" s="93">
        <f>SUBTOTAL(9,AD32:AD38)</f>
        <v>1387444</v>
      </c>
      <c r="AE40" s="93"/>
      <c r="AF40" s="93">
        <f>SUBTOTAL(9,AF32:AF38)</f>
        <v>-75202.05999999994</v>
      </c>
      <c r="AG40" s="56"/>
      <c r="AH40" s="195">
        <f>AF40/T40</f>
        <v>-0.05141507713766373</v>
      </c>
    </row>
    <row r="41" spans="5:34" s="31" customFormat="1" ht="12.75" customHeight="1">
      <c r="E41" s="55"/>
      <c r="F41" s="53"/>
      <c r="G41" s="53"/>
      <c r="J41" s="189"/>
      <c r="K41" s="52"/>
      <c r="L41" s="216"/>
      <c r="M41" s="18"/>
      <c r="N41" s="217"/>
      <c r="O41" s="52"/>
      <c r="P41" s="218"/>
      <c r="Q41" s="52"/>
      <c r="R41" s="71"/>
      <c r="S41" s="52"/>
      <c r="T41" s="189"/>
      <c r="U41" s="52"/>
      <c r="V41" s="52"/>
      <c r="W41" s="52"/>
      <c r="X41" s="52"/>
      <c r="Y41" s="52"/>
      <c r="Z41" s="52"/>
      <c r="AA41" s="52"/>
      <c r="AB41" s="57"/>
      <c r="AC41" s="52"/>
      <c r="AD41" s="189"/>
      <c r="AE41" s="189"/>
      <c r="AF41" s="189"/>
      <c r="AG41" s="52"/>
      <c r="AH41" s="52"/>
    </row>
    <row r="42" spans="5:34" s="31" customFormat="1" ht="12.75" customHeight="1">
      <c r="E42" s="55" t="s">
        <v>212</v>
      </c>
      <c r="F42" s="53"/>
      <c r="G42" s="53"/>
      <c r="J42" s="189"/>
      <c r="K42" s="52"/>
      <c r="L42" s="216"/>
      <c r="M42" s="18"/>
      <c r="N42" s="217"/>
      <c r="O42" s="52"/>
      <c r="P42" s="218"/>
      <c r="Q42" s="52"/>
      <c r="R42" s="71"/>
      <c r="S42" s="52"/>
      <c r="T42" s="189"/>
      <c r="U42" s="52"/>
      <c r="V42" s="52"/>
      <c r="W42" s="52"/>
      <c r="X42" s="52"/>
      <c r="Y42" s="52"/>
      <c r="Z42" s="52"/>
      <c r="AA42" s="52"/>
      <c r="AB42" s="57"/>
      <c r="AC42" s="52"/>
      <c r="AD42" s="189"/>
      <c r="AE42" s="189"/>
      <c r="AF42" s="189"/>
      <c r="AG42" s="52"/>
      <c r="AH42" s="52"/>
    </row>
    <row r="43" spans="1:34" s="31" customFormat="1" ht="12.75" customHeight="1">
      <c r="A43" s="25">
        <v>350.2</v>
      </c>
      <c r="C43" s="163" t="s">
        <v>302</v>
      </c>
      <c r="E43" s="55"/>
      <c r="F43" s="53" t="s">
        <v>213</v>
      </c>
      <c r="G43" s="53"/>
      <c r="H43" s="51" t="s">
        <v>214</v>
      </c>
      <c r="J43" s="92">
        <f aca="true" t="shared" si="0" ref="J43:J48">VLOOKUP($A43,Deprlot,6,FALSE)</f>
        <v>4462984.86</v>
      </c>
      <c r="K43" s="67"/>
      <c r="L43" s="216">
        <v>70</v>
      </c>
      <c r="M43" s="18" t="s">
        <v>9</v>
      </c>
      <c r="N43" s="217" t="s">
        <v>369</v>
      </c>
      <c r="O43" s="67"/>
      <c r="P43" s="218">
        <v>0</v>
      </c>
      <c r="Q43" s="67"/>
      <c r="R43" s="71">
        <f aca="true" t="shared" si="1" ref="R43:R48">VLOOKUP($A43,Controls,6,0)*100</f>
        <v>1.43</v>
      </c>
      <c r="S43" s="67"/>
      <c r="T43" s="92">
        <f aca="true" t="shared" si="2" ref="T43:T48">ROUND(J43*R43/100,2)</f>
        <v>63820.68</v>
      </c>
      <c r="U43" s="67"/>
      <c r="V43" s="216">
        <f aca="true" t="shared" si="3" ref="V43:V48">VLOOKUP($A43,Deprlot,3,FALSE)</f>
        <v>70</v>
      </c>
      <c r="W43" s="18" t="s">
        <v>9</v>
      </c>
      <c r="X43" s="217" t="str">
        <f aca="true" t="shared" si="4" ref="X43:X48">TRIM(VLOOKUP($A43,Deprlot,4,FALSE))</f>
        <v>R5</v>
      </c>
      <c r="Y43" s="214"/>
      <c r="Z43" s="218">
        <f aca="true" t="shared" si="5" ref="Z43:Z48">VLOOKUP($A43,Deprlot,5,FALSE)</f>
        <v>0</v>
      </c>
      <c r="AA43" s="218"/>
      <c r="AB43" s="71">
        <f aca="true" t="shared" si="6" ref="AB43:AB48">ROUND(AD43/J43*100,2)</f>
        <v>1.43</v>
      </c>
      <c r="AC43" s="67"/>
      <c r="AD43" s="92">
        <f aca="true" t="shared" si="7" ref="AD43:AD48">VLOOKUP($A43,Deprlot,9,FALSE)</f>
        <v>63821</v>
      </c>
      <c r="AE43" s="169"/>
      <c r="AF43" s="92">
        <f aca="true" t="shared" si="8" ref="AF43:AF48">AD43-T43</f>
        <v>0.31999999999970896</v>
      </c>
      <c r="AG43" s="68"/>
      <c r="AH43" s="196">
        <f aca="true" t="shared" si="9" ref="AH43:AH48">AF43/T43</f>
        <v>5.014048737802683E-06</v>
      </c>
    </row>
    <row r="44" spans="1:34" s="31" customFormat="1" ht="12.75" customHeight="1">
      <c r="A44" s="25">
        <v>353</v>
      </c>
      <c r="B44" s="25"/>
      <c r="C44" s="31">
        <v>1841</v>
      </c>
      <c r="E44" s="55"/>
      <c r="F44" s="53" t="s">
        <v>215</v>
      </c>
      <c r="G44" s="53"/>
      <c r="H44" s="51" t="s">
        <v>216</v>
      </c>
      <c r="J44" s="92">
        <f t="shared" si="0"/>
        <v>50295932.85</v>
      </c>
      <c r="K44" s="67"/>
      <c r="L44" s="216">
        <v>55</v>
      </c>
      <c r="M44" s="18" t="s">
        <v>9</v>
      </c>
      <c r="N44" s="217" t="s">
        <v>370</v>
      </c>
      <c r="O44" s="67"/>
      <c r="P44" s="218">
        <v>-3</v>
      </c>
      <c r="Q44" s="67"/>
      <c r="R44" s="71">
        <f t="shared" si="1"/>
        <v>1.87</v>
      </c>
      <c r="S44" s="67"/>
      <c r="T44" s="92">
        <f t="shared" si="2"/>
        <v>940533.94</v>
      </c>
      <c r="U44" s="67"/>
      <c r="V44" s="216">
        <f t="shared" si="3"/>
        <v>57</v>
      </c>
      <c r="W44" s="18" t="s">
        <v>9</v>
      </c>
      <c r="X44" s="217" t="str">
        <f t="shared" si="4"/>
        <v>R3</v>
      </c>
      <c r="Y44" s="214"/>
      <c r="Z44" s="218">
        <f t="shared" si="5"/>
        <v>-5</v>
      </c>
      <c r="AA44" s="218"/>
      <c r="AB44" s="71">
        <f t="shared" si="6"/>
        <v>1.84</v>
      </c>
      <c r="AC44" s="67"/>
      <c r="AD44" s="92">
        <f t="shared" si="7"/>
        <v>924188</v>
      </c>
      <c r="AE44" s="169"/>
      <c r="AF44" s="92">
        <f t="shared" si="8"/>
        <v>-16345.939999999944</v>
      </c>
      <c r="AG44" s="68"/>
      <c r="AH44" s="196">
        <f t="shared" si="9"/>
        <v>-0.01737942598860382</v>
      </c>
    </row>
    <row r="45" spans="1:34" s="31" customFormat="1" ht="12.75" customHeight="1">
      <c r="A45" s="25">
        <v>354</v>
      </c>
      <c r="B45" s="25"/>
      <c r="C45" s="31">
        <v>1847</v>
      </c>
      <c r="E45" s="55"/>
      <c r="F45" s="53" t="s">
        <v>16</v>
      </c>
      <c r="G45" s="53"/>
      <c r="H45" s="51" t="s">
        <v>217</v>
      </c>
      <c r="J45" s="92">
        <f t="shared" si="0"/>
        <v>878834.26</v>
      </c>
      <c r="K45" s="67"/>
      <c r="L45" s="216">
        <v>60</v>
      </c>
      <c r="M45" s="18" t="s">
        <v>9</v>
      </c>
      <c r="N45" s="217" t="s">
        <v>371</v>
      </c>
      <c r="O45" s="67"/>
      <c r="P45" s="218">
        <v>-20</v>
      </c>
      <c r="Q45" s="67"/>
      <c r="R45" s="71">
        <f t="shared" si="1"/>
        <v>2</v>
      </c>
      <c r="S45" s="67"/>
      <c r="T45" s="92">
        <f t="shared" si="2"/>
        <v>17576.69</v>
      </c>
      <c r="U45" s="67"/>
      <c r="V45" s="216">
        <f t="shared" si="3"/>
        <v>60</v>
      </c>
      <c r="W45" s="18" t="s">
        <v>9</v>
      </c>
      <c r="X45" s="217" t="str">
        <f t="shared" si="4"/>
        <v>R4</v>
      </c>
      <c r="Y45" s="214"/>
      <c r="Z45" s="218">
        <f t="shared" si="5"/>
        <v>-20</v>
      </c>
      <c r="AA45" s="218"/>
      <c r="AB45" s="71">
        <f t="shared" si="6"/>
        <v>2</v>
      </c>
      <c r="AC45" s="67"/>
      <c r="AD45" s="92">
        <f t="shared" si="7"/>
        <v>17612</v>
      </c>
      <c r="AE45" s="169"/>
      <c r="AF45" s="92">
        <f t="shared" si="8"/>
        <v>35.31000000000131</v>
      </c>
      <c r="AG45" s="68"/>
      <c r="AH45" s="196">
        <f t="shared" si="9"/>
        <v>0.0020089106652049567</v>
      </c>
    </row>
    <row r="46" spans="1:34" s="31" customFormat="1" ht="12.75" customHeight="1">
      <c r="A46" s="25">
        <v>355</v>
      </c>
      <c r="B46" s="25"/>
      <c r="C46" s="89">
        <v>1849</v>
      </c>
      <c r="D46" s="89"/>
      <c r="E46" s="55"/>
      <c r="F46" s="53" t="s">
        <v>17</v>
      </c>
      <c r="G46" s="53"/>
      <c r="H46" s="51" t="s">
        <v>218</v>
      </c>
      <c r="J46" s="92">
        <f t="shared" si="0"/>
        <v>22861633.71</v>
      </c>
      <c r="K46" s="67"/>
      <c r="L46" s="216">
        <v>50</v>
      </c>
      <c r="M46" s="18" t="s">
        <v>9</v>
      </c>
      <c r="N46" s="217" t="s">
        <v>363</v>
      </c>
      <c r="O46" s="67"/>
      <c r="P46" s="218">
        <v>-50</v>
      </c>
      <c r="Q46" s="67"/>
      <c r="R46" s="71">
        <f t="shared" si="1"/>
        <v>3</v>
      </c>
      <c r="S46" s="67"/>
      <c r="T46" s="92">
        <f t="shared" si="2"/>
        <v>685849.01</v>
      </c>
      <c r="U46" s="67"/>
      <c r="V46" s="216">
        <f t="shared" si="3"/>
        <v>52</v>
      </c>
      <c r="W46" s="18" t="s">
        <v>9</v>
      </c>
      <c r="X46" s="217" t="str">
        <f t="shared" si="4"/>
        <v>R2.5</v>
      </c>
      <c r="Y46" s="214"/>
      <c r="Z46" s="218">
        <f t="shared" si="5"/>
        <v>-70</v>
      </c>
      <c r="AA46" s="218"/>
      <c r="AB46" s="71">
        <f t="shared" si="6"/>
        <v>3.26</v>
      </c>
      <c r="AC46" s="67"/>
      <c r="AD46" s="92">
        <f t="shared" si="7"/>
        <v>746204</v>
      </c>
      <c r="AE46" s="169"/>
      <c r="AF46" s="92">
        <f t="shared" si="8"/>
        <v>60354.98999999999</v>
      </c>
      <c r="AG46" s="68"/>
      <c r="AH46" s="196">
        <f t="shared" si="9"/>
        <v>0.08800040405394766</v>
      </c>
    </row>
    <row r="47" spans="1:34" s="31" customFormat="1" ht="12.75" customHeight="1">
      <c r="A47" s="25">
        <v>356</v>
      </c>
      <c r="B47" s="25"/>
      <c r="C47" s="89">
        <v>1848</v>
      </c>
      <c r="D47" s="89"/>
      <c r="E47" s="55"/>
      <c r="F47" s="53" t="s">
        <v>18</v>
      </c>
      <c r="G47" s="53"/>
      <c r="H47" s="51" t="s">
        <v>219</v>
      </c>
      <c r="J47" s="92">
        <f t="shared" si="0"/>
        <v>45621954.93</v>
      </c>
      <c r="K47" s="67"/>
      <c r="L47" s="216">
        <v>55</v>
      </c>
      <c r="M47" s="18" t="s">
        <v>9</v>
      </c>
      <c r="N47" s="217" t="s">
        <v>370</v>
      </c>
      <c r="O47" s="67"/>
      <c r="P47" s="218">
        <v>-35</v>
      </c>
      <c r="Q47" s="67"/>
      <c r="R47" s="71">
        <f t="shared" si="1"/>
        <v>2.46</v>
      </c>
      <c r="S47" s="67"/>
      <c r="T47" s="92">
        <f t="shared" si="2"/>
        <v>1122300.09</v>
      </c>
      <c r="U47" s="67"/>
      <c r="V47" s="216">
        <f t="shared" si="3"/>
        <v>60</v>
      </c>
      <c r="W47" s="18" t="s">
        <v>9</v>
      </c>
      <c r="X47" s="217" t="str">
        <f t="shared" si="4"/>
        <v>R3</v>
      </c>
      <c r="Y47" s="214"/>
      <c r="Z47" s="218">
        <f t="shared" si="5"/>
        <v>-70</v>
      </c>
      <c r="AA47" s="218"/>
      <c r="AB47" s="71">
        <f t="shared" si="6"/>
        <v>2.84</v>
      </c>
      <c r="AC47" s="67"/>
      <c r="AD47" s="92">
        <f t="shared" si="7"/>
        <v>1295207</v>
      </c>
      <c r="AE47" s="169"/>
      <c r="AF47" s="92">
        <f t="shared" si="8"/>
        <v>172906.90999999992</v>
      </c>
      <c r="AG47" s="68"/>
      <c r="AH47" s="196">
        <f t="shared" si="9"/>
        <v>0.15406477424411497</v>
      </c>
    </row>
    <row r="48" spans="1:34" s="31" customFormat="1" ht="12.75" customHeight="1">
      <c r="A48" s="25">
        <v>359</v>
      </c>
      <c r="B48" s="25"/>
      <c r="C48" s="89">
        <v>1846</v>
      </c>
      <c r="D48" s="89"/>
      <c r="E48" s="55"/>
      <c r="F48" s="53" t="s">
        <v>220</v>
      </c>
      <c r="G48" s="53"/>
      <c r="H48" s="51" t="s">
        <v>221</v>
      </c>
      <c r="J48" s="179">
        <f t="shared" si="0"/>
        <v>73263</v>
      </c>
      <c r="K48" s="67"/>
      <c r="L48" s="216">
        <v>50</v>
      </c>
      <c r="M48" s="18" t="s">
        <v>9</v>
      </c>
      <c r="N48" s="217" t="s">
        <v>372</v>
      </c>
      <c r="O48" s="67"/>
      <c r="P48" s="218">
        <v>0</v>
      </c>
      <c r="Q48" s="67"/>
      <c r="R48" s="71">
        <f t="shared" si="1"/>
        <v>2</v>
      </c>
      <c r="S48" s="67"/>
      <c r="T48" s="92">
        <f t="shared" si="2"/>
        <v>1465.26</v>
      </c>
      <c r="U48" s="67"/>
      <c r="V48" s="216">
        <f t="shared" si="3"/>
        <v>50</v>
      </c>
      <c r="W48" s="18" t="s">
        <v>9</v>
      </c>
      <c r="X48" s="217" t="str">
        <f t="shared" si="4"/>
        <v>S2</v>
      </c>
      <c r="Y48" s="214"/>
      <c r="Z48" s="218">
        <f t="shared" si="5"/>
        <v>0</v>
      </c>
      <c r="AA48" s="218"/>
      <c r="AB48" s="71">
        <f t="shared" si="6"/>
        <v>2</v>
      </c>
      <c r="AC48" s="67"/>
      <c r="AD48" s="92">
        <f t="shared" si="7"/>
        <v>1465</v>
      </c>
      <c r="AE48" s="169"/>
      <c r="AF48" s="92">
        <f t="shared" si="8"/>
        <v>-0.2599999999999909</v>
      </c>
      <c r="AG48" s="68"/>
      <c r="AH48" s="196">
        <f t="shared" si="9"/>
        <v>-0.00017744291115569312</v>
      </c>
    </row>
    <row r="49" spans="5:34" s="31" customFormat="1" ht="12.75" customHeight="1">
      <c r="E49" s="55" t="s">
        <v>222</v>
      </c>
      <c r="F49" s="55"/>
      <c r="G49" s="54"/>
      <c r="H49" s="55"/>
      <c r="I49" s="55"/>
      <c r="J49" s="93">
        <f>SUBTOTAL(9,J43:J48)</f>
        <v>124194603.61000001</v>
      </c>
      <c r="K49" s="56"/>
      <c r="L49" s="216"/>
      <c r="M49" s="18"/>
      <c r="N49" s="217"/>
      <c r="O49" s="56"/>
      <c r="P49" s="218"/>
      <c r="Q49" s="56"/>
      <c r="R49" s="69">
        <f>ROUND(T49/J49*100,2)</f>
        <v>2.28</v>
      </c>
      <c r="S49" s="56"/>
      <c r="T49" s="240">
        <f>SUBTOTAL(9,T43:T48)</f>
        <v>2831545.67</v>
      </c>
      <c r="U49" s="56"/>
      <c r="V49" s="56"/>
      <c r="W49" s="56"/>
      <c r="X49" s="56"/>
      <c r="Y49" s="56"/>
      <c r="Z49" s="56"/>
      <c r="AA49" s="56"/>
      <c r="AB49" s="69">
        <f>ROUND(AD49/J49*100,2)</f>
        <v>2.45</v>
      </c>
      <c r="AC49" s="56"/>
      <c r="AD49" s="240">
        <f>SUBTOTAL(9,AD43:AD48)</f>
        <v>3048497</v>
      </c>
      <c r="AE49" s="93"/>
      <c r="AF49" s="240">
        <f>SUBTOTAL(9,AF43:AF48)</f>
        <v>216951.32999999996</v>
      </c>
      <c r="AG49" s="56"/>
      <c r="AH49" s="195">
        <f>AF49/T49</f>
        <v>0.07661939989122618</v>
      </c>
    </row>
    <row r="50" spans="5:32" s="31" customFormat="1" ht="12.75" customHeight="1">
      <c r="E50" s="55"/>
      <c r="F50" s="53"/>
      <c r="G50" s="53"/>
      <c r="J50" s="182"/>
      <c r="L50" s="216"/>
      <c r="M50" s="18"/>
      <c r="N50" s="217"/>
      <c r="P50" s="218"/>
      <c r="R50" s="71"/>
      <c r="T50" s="182"/>
      <c r="AB50" s="69"/>
      <c r="AD50" s="182"/>
      <c r="AE50" s="182"/>
      <c r="AF50" s="182"/>
    </row>
    <row r="51" spans="1:32" s="31" customFormat="1" ht="12.75" customHeight="1">
      <c r="A51" s="25"/>
      <c r="B51" s="25"/>
      <c r="E51" s="54" t="s">
        <v>223</v>
      </c>
      <c r="G51" s="53"/>
      <c r="J51" s="182"/>
      <c r="L51" s="216"/>
      <c r="M51" s="18"/>
      <c r="N51" s="217"/>
      <c r="P51" s="218"/>
      <c r="R51" s="71"/>
      <c r="T51" s="182"/>
      <c r="AB51" s="69"/>
      <c r="AD51" s="182"/>
      <c r="AE51" s="182"/>
      <c r="AF51" s="182"/>
    </row>
    <row r="52" spans="1:34" s="31" customFormat="1" ht="12.75" customHeight="1">
      <c r="A52" s="25">
        <v>360.2</v>
      </c>
      <c r="C52" s="163" t="s">
        <v>301</v>
      </c>
      <c r="E52" s="55"/>
      <c r="F52" s="53" t="s">
        <v>224</v>
      </c>
      <c r="G52" s="53"/>
      <c r="H52" s="51" t="s">
        <v>225</v>
      </c>
      <c r="J52" s="92">
        <f aca="true" t="shared" si="10" ref="J52:J64">VLOOKUP($A52,Deprlot,6,FALSE)</f>
        <v>282000</v>
      </c>
      <c r="K52" s="67"/>
      <c r="L52" s="216">
        <v>70</v>
      </c>
      <c r="M52" s="18" t="s">
        <v>9</v>
      </c>
      <c r="N52" s="217" t="s">
        <v>369</v>
      </c>
      <c r="O52" s="67"/>
      <c r="P52" s="218">
        <v>0</v>
      </c>
      <c r="Q52" s="67"/>
      <c r="R52" s="71">
        <f aca="true" t="shared" si="11" ref="R52:R64">VLOOKUP($A52,Controls,6,0)*100</f>
        <v>1.43</v>
      </c>
      <c r="S52" s="67"/>
      <c r="T52" s="92">
        <f aca="true" t="shared" si="12" ref="T52:T64">ROUND(J52*R52/100,2)</f>
        <v>4032.6</v>
      </c>
      <c r="U52" s="67"/>
      <c r="V52" s="216">
        <f aca="true" t="shared" si="13" ref="V52:V64">VLOOKUP($A52,Deprlot,3,FALSE)</f>
        <v>70</v>
      </c>
      <c r="W52" s="18" t="s">
        <v>9</v>
      </c>
      <c r="X52" s="217" t="str">
        <f aca="true" t="shared" si="14" ref="X52:X64">TRIM(VLOOKUP($A52,Deprlot,4,FALSE))</f>
        <v>R5</v>
      </c>
      <c r="Y52" s="214"/>
      <c r="Z52" s="218">
        <f aca="true" t="shared" si="15" ref="Z52:Z64">VLOOKUP($A52,Deprlot,5,FALSE)</f>
        <v>0</v>
      </c>
      <c r="AA52" s="218"/>
      <c r="AB52" s="71">
        <f aca="true" t="shared" si="16" ref="AB52:AB64">ROUND(AD52/J52*100,2)</f>
        <v>1.43</v>
      </c>
      <c r="AC52" s="67"/>
      <c r="AD52" s="92">
        <f aca="true" t="shared" si="17" ref="AD52:AD64">VLOOKUP($A52,Deprlot,9,FALSE)</f>
        <v>4033</v>
      </c>
      <c r="AE52" s="169"/>
      <c r="AF52" s="92">
        <f aca="true" t="shared" si="18" ref="AF52:AF64">AD52-T52</f>
        <v>0.40000000000009095</v>
      </c>
      <c r="AG52" s="68"/>
      <c r="AH52" s="196">
        <f aca="true" t="shared" si="19" ref="AH52:AH64">AF52/T52</f>
        <v>9.919158855331324E-05</v>
      </c>
    </row>
    <row r="53" spans="1:34" s="31" customFormat="1" ht="12.75" customHeight="1">
      <c r="A53" s="25">
        <v>362</v>
      </c>
      <c r="B53" s="25"/>
      <c r="C53" s="31">
        <v>1741</v>
      </c>
      <c r="E53" s="55"/>
      <c r="F53" s="53" t="s">
        <v>19</v>
      </c>
      <c r="G53" s="53"/>
      <c r="H53" s="51" t="s">
        <v>226</v>
      </c>
      <c r="J53" s="92">
        <f t="shared" si="10"/>
        <v>3289858.8</v>
      </c>
      <c r="K53" s="67"/>
      <c r="L53" s="216">
        <v>47</v>
      </c>
      <c r="M53" s="18" t="s">
        <v>9</v>
      </c>
      <c r="N53" s="217" t="s">
        <v>370</v>
      </c>
      <c r="O53" s="67"/>
      <c r="P53" s="218">
        <v>-3</v>
      </c>
      <c r="Q53" s="67"/>
      <c r="R53" s="71">
        <f t="shared" si="11"/>
        <v>2.19</v>
      </c>
      <c r="S53" s="67"/>
      <c r="T53" s="92">
        <f t="shared" si="12"/>
        <v>72047.91</v>
      </c>
      <c r="U53" s="67"/>
      <c r="V53" s="216">
        <f t="shared" si="13"/>
        <v>47</v>
      </c>
      <c r="W53" s="18" t="s">
        <v>9</v>
      </c>
      <c r="X53" s="217" t="str">
        <f t="shared" si="14"/>
        <v>R3</v>
      </c>
      <c r="Y53" s="214"/>
      <c r="Z53" s="218">
        <f t="shared" si="15"/>
        <v>-5</v>
      </c>
      <c r="AA53" s="218"/>
      <c r="AB53" s="71">
        <f t="shared" si="16"/>
        <v>2.24</v>
      </c>
      <c r="AC53" s="67"/>
      <c r="AD53" s="92">
        <f t="shared" si="17"/>
        <v>73578</v>
      </c>
      <c r="AE53" s="169"/>
      <c r="AF53" s="92">
        <f t="shared" si="18"/>
        <v>1530.0899999999965</v>
      </c>
      <c r="AG53" s="68"/>
      <c r="AH53" s="196">
        <f t="shared" si="19"/>
        <v>0.021237118467419755</v>
      </c>
    </row>
    <row r="54" spans="1:34" s="31" customFormat="1" ht="12.75" customHeight="1">
      <c r="A54" s="25">
        <v>364</v>
      </c>
      <c r="B54" s="25"/>
      <c r="C54" s="31">
        <v>1749</v>
      </c>
      <c r="E54" s="55"/>
      <c r="F54" s="53" t="s">
        <v>20</v>
      </c>
      <c r="G54" s="53"/>
      <c r="H54" s="51" t="s">
        <v>227</v>
      </c>
      <c r="J54" s="92">
        <f t="shared" si="10"/>
        <v>75601860.44</v>
      </c>
      <c r="K54" s="67"/>
      <c r="L54" s="216">
        <v>43</v>
      </c>
      <c r="M54" s="18" t="s">
        <v>9</v>
      </c>
      <c r="N54" s="217" t="s">
        <v>373</v>
      </c>
      <c r="O54" s="67"/>
      <c r="P54" s="218">
        <v>-50</v>
      </c>
      <c r="Q54" s="67"/>
      <c r="R54" s="71">
        <f t="shared" si="11"/>
        <v>3.49</v>
      </c>
      <c r="S54" s="67"/>
      <c r="T54" s="92">
        <f t="shared" si="12"/>
        <v>2638504.93</v>
      </c>
      <c r="U54" s="67"/>
      <c r="V54" s="216">
        <f t="shared" si="13"/>
        <v>47</v>
      </c>
      <c r="W54" s="18" t="s">
        <v>9</v>
      </c>
      <c r="X54" s="217" t="str">
        <f t="shared" si="14"/>
        <v>R1.5</v>
      </c>
      <c r="Y54" s="214"/>
      <c r="Z54" s="218">
        <f t="shared" si="15"/>
        <v>-60</v>
      </c>
      <c r="AA54" s="218"/>
      <c r="AB54" s="71">
        <f t="shared" si="16"/>
        <v>3.41</v>
      </c>
      <c r="AC54" s="67"/>
      <c r="AD54" s="92">
        <f t="shared" si="17"/>
        <v>2576511</v>
      </c>
      <c r="AE54" s="169"/>
      <c r="AF54" s="92">
        <f t="shared" si="18"/>
        <v>-61993.93000000017</v>
      </c>
      <c r="AG54" s="68"/>
      <c r="AH54" s="196">
        <f t="shared" si="19"/>
        <v>-0.02349585528346925</v>
      </c>
    </row>
    <row r="55" spans="1:34" s="31" customFormat="1" ht="12.75" customHeight="1">
      <c r="A55" s="25">
        <v>365</v>
      </c>
      <c r="B55" s="25"/>
      <c r="C55" s="88" t="s">
        <v>64</v>
      </c>
      <c r="D55" s="88"/>
      <c r="E55" s="55"/>
      <c r="F55" s="53" t="s">
        <v>21</v>
      </c>
      <c r="G55" s="53"/>
      <c r="H55" s="51" t="s">
        <v>219</v>
      </c>
      <c r="J55" s="92">
        <f t="shared" si="10"/>
        <v>93875165.89</v>
      </c>
      <c r="K55" s="67"/>
      <c r="L55" s="216">
        <v>51</v>
      </c>
      <c r="M55" s="18" t="s">
        <v>9</v>
      </c>
      <c r="N55" s="217" t="s">
        <v>374</v>
      </c>
      <c r="O55" s="67"/>
      <c r="P55" s="218">
        <v>-60</v>
      </c>
      <c r="Q55" s="67"/>
      <c r="R55" s="71">
        <f t="shared" si="11"/>
        <v>3.1399999999999997</v>
      </c>
      <c r="S55" s="67"/>
      <c r="T55" s="92">
        <f t="shared" si="12"/>
        <v>2947680.21</v>
      </c>
      <c r="U55" s="67"/>
      <c r="V55" s="216">
        <f t="shared" si="13"/>
        <v>52</v>
      </c>
      <c r="W55" s="18" t="s">
        <v>9</v>
      </c>
      <c r="X55" s="217" t="str">
        <f t="shared" si="14"/>
        <v>R2.5</v>
      </c>
      <c r="Y55" s="214"/>
      <c r="Z55" s="218">
        <f t="shared" si="15"/>
        <v>-60</v>
      </c>
      <c r="AA55" s="218"/>
      <c r="AB55" s="71">
        <f t="shared" si="16"/>
        <v>3.07</v>
      </c>
      <c r="AC55" s="67"/>
      <c r="AD55" s="92">
        <f t="shared" si="17"/>
        <v>2883845</v>
      </c>
      <c r="AE55" s="169"/>
      <c r="AF55" s="92">
        <f t="shared" si="18"/>
        <v>-63835.20999999996</v>
      </c>
      <c r="AG55" s="68"/>
      <c r="AH55" s="196">
        <f t="shared" si="19"/>
        <v>-0.021656083920989503</v>
      </c>
    </row>
    <row r="56" spans="1:34" s="31" customFormat="1" ht="12.75" customHeight="1">
      <c r="A56" s="25">
        <v>367</v>
      </c>
      <c r="B56" s="25"/>
      <c r="C56" s="89">
        <v>1755</v>
      </c>
      <c r="D56" s="89"/>
      <c r="E56" s="55"/>
      <c r="F56" s="53" t="s">
        <v>22</v>
      </c>
      <c r="G56" s="53"/>
      <c r="H56" s="51" t="s">
        <v>228</v>
      </c>
      <c r="J56" s="92">
        <f t="shared" si="10"/>
        <v>3097193.94</v>
      </c>
      <c r="K56" s="67"/>
      <c r="L56" s="216">
        <v>45</v>
      </c>
      <c r="M56" s="18" t="s">
        <v>9</v>
      </c>
      <c r="N56" s="217" t="s">
        <v>370</v>
      </c>
      <c r="O56" s="67"/>
      <c r="P56" s="218">
        <v>-10</v>
      </c>
      <c r="Q56" s="67"/>
      <c r="R56" s="71">
        <f t="shared" si="11"/>
        <v>2.44</v>
      </c>
      <c r="S56" s="67"/>
      <c r="T56" s="92">
        <f t="shared" si="12"/>
        <v>75571.53</v>
      </c>
      <c r="U56" s="67"/>
      <c r="V56" s="216">
        <f t="shared" si="13"/>
        <v>50</v>
      </c>
      <c r="W56" s="18" t="s">
        <v>9</v>
      </c>
      <c r="X56" s="217" t="str">
        <f t="shared" si="14"/>
        <v>R3</v>
      </c>
      <c r="Y56" s="214"/>
      <c r="Z56" s="218">
        <f t="shared" si="15"/>
        <v>-10</v>
      </c>
      <c r="AA56" s="218"/>
      <c r="AB56" s="71">
        <f t="shared" si="16"/>
        <v>2.2</v>
      </c>
      <c r="AC56" s="67"/>
      <c r="AD56" s="92">
        <f t="shared" si="17"/>
        <v>68138</v>
      </c>
      <c r="AE56" s="169"/>
      <c r="AF56" s="92">
        <f t="shared" si="18"/>
        <v>-7433.529999999999</v>
      </c>
      <c r="AG56" s="68"/>
      <c r="AH56" s="196">
        <f t="shared" si="19"/>
        <v>-0.09836415909536302</v>
      </c>
    </row>
    <row r="57" spans="1:34" s="31" customFormat="1" ht="12.75" customHeight="1">
      <c r="A57" s="25">
        <v>368.1</v>
      </c>
      <c r="B57" s="25"/>
      <c r="C57" s="89">
        <v>1751</v>
      </c>
      <c r="D57" s="89"/>
      <c r="E57" s="55"/>
      <c r="F57" s="53" t="s">
        <v>229</v>
      </c>
      <c r="G57" s="53"/>
      <c r="H57" s="51" t="s">
        <v>230</v>
      </c>
      <c r="J57" s="92">
        <f t="shared" si="10"/>
        <v>69024149.65</v>
      </c>
      <c r="K57" s="67"/>
      <c r="L57" s="216">
        <v>35</v>
      </c>
      <c r="M57" s="18" t="s">
        <v>9</v>
      </c>
      <c r="N57" s="217" t="s">
        <v>374</v>
      </c>
      <c r="O57" s="67"/>
      <c r="P57" s="218">
        <v>-15</v>
      </c>
      <c r="Q57" s="67"/>
      <c r="R57" s="71">
        <f t="shared" si="11"/>
        <v>3.29</v>
      </c>
      <c r="S57" s="67"/>
      <c r="T57" s="92">
        <f t="shared" si="12"/>
        <v>2270894.52</v>
      </c>
      <c r="U57" s="67"/>
      <c r="V57" s="216">
        <f t="shared" si="13"/>
        <v>34</v>
      </c>
      <c r="W57" s="18" t="s">
        <v>9</v>
      </c>
      <c r="X57" s="217" t="str">
        <f t="shared" si="14"/>
        <v>R2.5</v>
      </c>
      <c r="Y57" s="214"/>
      <c r="Z57" s="218">
        <f t="shared" si="15"/>
        <v>-20</v>
      </c>
      <c r="AA57" s="218"/>
      <c r="AB57" s="71">
        <f t="shared" si="16"/>
        <v>3.53</v>
      </c>
      <c r="AC57" s="67"/>
      <c r="AD57" s="92">
        <f t="shared" si="17"/>
        <v>2435172</v>
      </c>
      <c r="AE57" s="169"/>
      <c r="AF57" s="92">
        <f t="shared" si="18"/>
        <v>164277.47999999998</v>
      </c>
      <c r="AG57" s="68"/>
      <c r="AH57" s="196">
        <f t="shared" si="19"/>
        <v>0.07234042733081235</v>
      </c>
    </row>
    <row r="58" spans="1:34" s="31" customFormat="1" ht="12.75" customHeight="1">
      <c r="A58" s="25">
        <v>368.2</v>
      </c>
      <c r="B58" s="25"/>
      <c r="C58" s="89">
        <v>1752</v>
      </c>
      <c r="D58" s="89"/>
      <c r="E58" s="55"/>
      <c r="F58" s="53" t="s">
        <v>231</v>
      </c>
      <c r="G58" s="53"/>
      <c r="H58" s="51" t="s">
        <v>232</v>
      </c>
      <c r="J58" s="92">
        <f t="shared" si="10"/>
        <v>12591273.83</v>
      </c>
      <c r="K58" s="67"/>
      <c r="L58" s="216">
        <v>35</v>
      </c>
      <c r="M58" s="18" t="s">
        <v>9</v>
      </c>
      <c r="N58" s="217" t="s">
        <v>374</v>
      </c>
      <c r="O58" s="67"/>
      <c r="P58" s="218">
        <v>-15</v>
      </c>
      <c r="Q58" s="67"/>
      <c r="R58" s="71">
        <f t="shared" si="11"/>
        <v>3.29</v>
      </c>
      <c r="S58" s="67"/>
      <c r="T58" s="92">
        <f t="shared" si="12"/>
        <v>414252.91</v>
      </c>
      <c r="U58" s="67"/>
      <c r="V58" s="216">
        <f t="shared" si="13"/>
        <v>34</v>
      </c>
      <c r="W58" s="18" t="s">
        <v>9</v>
      </c>
      <c r="X58" s="217" t="str">
        <f t="shared" si="14"/>
        <v>R2.5</v>
      </c>
      <c r="Y58" s="214"/>
      <c r="Z58" s="218">
        <f t="shared" si="15"/>
        <v>-20</v>
      </c>
      <c r="AA58" s="218"/>
      <c r="AB58" s="71">
        <f t="shared" si="16"/>
        <v>3.53</v>
      </c>
      <c r="AC58" s="67"/>
      <c r="AD58" s="92">
        <f t="shared" si="17"/>
        <v>444220</v>
      </c>
      <c r="AE58" s="169"/>
      <c r="AF58" s="92">
        <f t="shared" si="18"/>
        <v>29967.090000000026</v>
      </c>
      <c r="AG58" s="68"/>
      <c r="AH58" s="196">
        <f t="shared" si="19"/>
        <v>0.07234008325976522</v>
      </c>
    </row>
    <row r="59" spans="1:34" s="31" customFormat="1" ht="12.75" customHeight="1">
      <c r="A59" s="25">
        <v>369.01</v>
      </c>
      <c r="B59" s="25"/>
      <c r="C59" s="89">
        <v>1753</v>
      </c>
      <c r="D59" s="89"/>
      <c r="E59" s="55"/>
      <c r="F59" s="53" t="s">
        <v>233</v>
      </c>
      <c r="G59" s="53"/>
      <c r="H59" s="51" t="s">
        <v>234</v>
      </c>
      <c r="J59" s="92">
        <f t="shared" si="10"/>
        <v>67238249.06</v>
      </c>
      <c r="K59" s="67"/>
      <c r="L59" s="216">
        <v>48</v>
      </c>
      <c r="M59" s="18" t="s">
        <v>9</v>
      </c>
      <c r="N59" s="217" t="s">
        <v>370</v>
      </c>
      <c r="O59" s="67"/>
      <c r="P59" s="218">
        <v>-50</v>
      </c>
      <c r="Q59" s="67"/>
      <c r="R59" s="71">
        <f t="shared" si="11"/>
        <v>3.1199999999999997</v>
      </c>
      <c r="S59" s="67"/>
      <c r="T59" s="92">
        <f t="shared" si="12"/>
        <v>2097833.37</v>
      </c>
      <c r="U59" s="67"/>
      <c r="V59" s="216">
        <f t="shared" si="13"/>
        <v>46</v>
      </c>
      <c r="W59" s="18" t="s">
        <v>9</v>
      </c>
      <c r="X59" s="217" t="str">
        <f t="shared" si="14"/>
        <v>R3</v>
      </c>
      <c r="Y59" s="214"/>
      <c r="Z59" s="218">
        <f t="shared" si="15"/>
        <v>-60</v>
      </c>
      <c r="AA59" s="218"/>
      <c r="AB59" s="71">
        <f t="shared" si="16"/>
        <v>3.47</v>
      </c>
      <c r="AC59" s="67"/>
      <c r="AD59" s="92">
        <f t="shared" si="17"/>
        <v>2334512</v>
      </c>
      <c r="AE59" s="169"/>
      <c r="AF59" s="92">
        <f t="shared" si="18"/>
        <v>236678.6299999999</v>
      </c>
      <c r="AG59" s="68"/>
      <c r="AH59" s="196">
        <f t="shared" si="19"/>
        <v>0.11282050966707612</v>
      </c>
    </row>
    <row r="60" spans="1:34" s="31" customFormat="1" ht="12.75" customHeight="1">
      <c r="A60" s="25">
        <v>369.02</v>
      </c>
      <c r="B60" s="25"/>
      <c r="C60" s="89">
        <v>1756</v>
      </c>
      <c r="D60" s="89"/>
      <c r="E60" s="55"/>
      <c r="F60" s="53" t="s">
        <v>235</v>
      </c>
      <c r="G60" s="53"/>
      <c r="H60" s="51" t="s">
        <v>236</v>
      </c>
      <c r="J60" s="92">
        <f t="shared" si="10"/>
        <v>2076694.98</v>
      </c>
      <c r="K60" s="67"/>
      <c r="L60" s="216">
        <v>45</v>
      </c>
      <c r="M60" s="18" t="s">
        <v>9</v>
      </c>
      <c r="N60" s="217" t="s">
        <v>370</v>
      </c>
      <c r="O60" s="67"/>
      <c r="P60" s="218">
        <v>-10</v>
      </c>
      <c r="Q60" s="67"/>
      <c r="R60" s="71">
        <f t="shared" si="11"/>
        <v>2.44</v>
      </c>
      <c r="S60" s="67"/>
      <c r="T60" s="92">
        <f t="shared" si="12"/>
        <v>50671.36</v>
      </c>
      <c r="U60" s="67"/>
      <c r="V60" s="216">
        <f t="shared" si="13"/>
        <v>45</v>
      </c>
      <c r="W60" s="18" t="s">
        <v>9</v>
      </c>
      <c r="X60" s="217" t="str">
        <f t="shared" si="14"/>
        <v>R3</v>
      </c>
      <c r="Y60" s="214"/>
      <c r="Z60" s="218">
        <f t="shared" si="15"/>
        <v>-10</v>
      </c>
      <c r="AA60" s="218"/>
      <c r="AB60" s="71">
        <f t="shared" si="16"/>
        <v>2.44</v>
      </c>
      <c r="AC60" s="67"/>
      <c r="AD60" s="92">
        <f t="shared" si="17"/>
        <v>50713</v>
      </c>
      <c r="AE60" s="169"/>
      <c r="AF60" s="92">
        <f t="shared" si="18"/>
        <v>41.63999999999942</v>
      </c>
      <c r="AG60" s="68"/>
      <c r="AH60" s="196">
        <f t="shared" si="19"/>
        <v>0.0008217659837825434</v>
      </c>
    </row>
    <row r="61" spans="1:34" s="55" customFormat="1" ht="12.75" customHeight="1">
      <c r="A61" s="25">
        <v>370.1</v>
      </c>
      <c r="B61" s="25"/>
      <c r="C61" s="51">
        <v>1758</v>
      </c>
      <c r="D61" s="51"/>
      <c r="F61" s="53" t="s">
        <v>237</v>
      </c>
      <c r="G61" s="53"/>
      <c r="H61" s="51" t="s">
        <v>238</v>
      </c>
      <c r="I61" s="31"/>
      <c r="J61" s="92">
        <f t="shared" si="10"/>
        <v>14245974.39</v>
      </c>
      <c r="K61" s="67"/>
      <c r="L61" s="216">
        <v>20</v>
      </c>
      <c r="M61" s="18" t="s">
        <v>9</v>
      </c>
      <c r="N61" s="217" t="s">
        <v>370</v>
      </c>
      <c r="O61" s="67"/>
      <c r="P61" s="218">
        <v>-3</v>
      </c>
      <c r="Q61" s="67"/>
      <c r="R61" s="71">
        <f t="shared" si="11"/>
        <v>5.01</v>
      </c>
      <c r="S61" s="67"/>
      <c r="T61" s="92">
        <f t="shared" si="12"/>
        <v>713723.32</v>
      </c>
      <c r="U61" s="67"/>
      <c r="V61" s="216">
        <f t="shared" si="13"/>
        <v>21</v>
      </c>
      <c r="W61" s="18" t="s">
        <v>9</v>
      </c>
      <c r="X61" s="217" t="str">
        <f t="shared" si="14"/>
        <v>S2</v>
      </c>
      <c r="Y61" s="214"/>
      <c r="Z61" s="218">
        <f t="shared" si="15"/>
        <v>-2</v>
      </c>
      <c r="AA61" s="218"/>
      <c r="AB61" s="71">
        <f t="shared" si="16"/>
        <v>4.86</v>
      </c>
      <c r="AC61" s="67"/>
      <c r="AD61" s="92">
        <f t="shared" si="17"/>
        <v>691671</v>
      </c>
      <c r="AE61" s="169"/>
      <c r="AF61" s="92">
        <f t="shared" si="18"/>
        <v>-22052.31999999995</v>
      </c>
      <c r="AG61" s="68"/>
      <c r="AH61" s="196">
        <f t="shared" si="19"/>
        <v>-0.030897575267682092</v>
      </c>
    </row>
    <row r="62" spans="1:34" s="31" customFormat="1" ht="12.75" customHeight="1">
      <c r="A62" s="25">
        <v>370.2</v>
      </c>
      <c r="B62" s="25"/>
      <c r="C62" s="90">
        <v>1759</v>
      </c>
      <c r="D62" s="90"/>
      <c r="E62" s="55"/>
      <c r="F62" s="53" t="s">
        <v>239</v>
      </c>
      <c r="G62" s="53"/>
      <c r="H62" s="51" t="s">
        <v>240</v>
      </c>
      <c r="J62" s="92">
        <f t="shared" si="10"/>
        <v>651341.47</v>
      </c>
      <c r="K62" s="67"/>
      <c r="L62" s="216">
        <v>30</v>
      </c>
      <c r="M62" s="18" t="s">
        <v>9</v>
      </c>
      <c r="N62" s="217" t="s">
        <v>375</v>
      </c>
      <c r="O62" s="67"/>
      <c r="P62" s="218">
        <v>0</v>
      </c>
      <c r="Q62" s="67"/>
      <c r="R62" s="71">
        <f t="shared" si="11"/>
        <v>3.3300000000000005</v>
      </c>
      <c r="S62" s="67"/>
      <c r="T62" s="92">
        <f t="shared" si="12"/>
        <v>21689.67</v>
      </c>
      <c r="U62" s="67"/>
      <c r="V62" s="216">
        <f t="shared" si="13"/>
        <v>30</v>
      </c>
      <c r="W62" s="18" t="s">
        <v>9</v>
      </c>
      <c r="X62" s="217" t="str">
        <f t="shared" si="14"/>
        <v>L3</v>
      </c>
      <c r="Y62" s="214"/>
      <c r="Z62" s="218">
        <f t="shared" si="15"/>
        <v>0</v>
      </c>
      <c r="AA62" s="218"/>
      <c r="AB62" s="71">
        <f t="shared" si="16"/>
        <v>3.33</v>
      </c>
      <c r="AC62" s="67"/>
      <c r="AD62" s="92">
        <f t="shared" si="17"/>
        <v>21690</v>
      </c>
      <c r="AE62" s="169"/>
      <c r="AF62" s="92">
        <f t="shared" si="18"/>
        <v>0.33000000000174623</v>
      </c>
      <c r="AG62" s="68"/>
      <c r="AH62" s="196">
        <f t="shared" si="19"/>
        <v>1.5214615990088658E-05</v>
      </c>
    </row>
    <row r="63" spans="1:34" s="31" customFormat="1" ht="12.75" customHeight="1">
      <c r="A63" s="25">
        <v>373</v>
      </c>
      <c r="B63" s="25"/>
      <c r="C63" s="90">
        <v>1754</v>
      </c>
      <c r="D63" s="90"/>
      <c r="E63" s="55"/>
      <c r="F63" s="53" t="s">
        <v>241</v>
      </c>
      <c r="G63" s="53"/>
      <c r="H63" s="51" t="s">
        <v>242</v>
      </c>
      <c r="J63" s="92">
        <f t="shared" si="10"/>
        <v>6053458.58</v>
      </c>
      <c r="K63" s="67"/>
      <c r="L63" s="216">
        <v>25</v>
      </c>
      <c r="M63" s="18" t="s">
        <v>9</v>
      </c>
      <c r="N63" s="217" t="s">
        <v>373</v>
      </c>
      <c r="O63" s="67"/>
      <c r="P63" s="218">
        <v>-15</v>
      </c>
      <c r="Q63" s="67"/>
      <c r="R63" s="71">
        <f t="shared" si="11"/>
        <v>4.6</v>
      </c>
      <c r="S63" s="67"/>
      <c r="T63" s="92">
        <f t="shared" si="12"/>
        <v>278459.09</v>
      </c>
      <c r="U63" s="67"/>
      <c r="V63" s="216">
        <f t="shared" si="13"/>
        <v>27</v>
      </c>
      <c r="W63" s="18" t="s">
        <v>9</v>
      </c>
      <c r="X63" s="217" t="str">
        <f t="shared" si="14"/>
        <v>R2</v>
      </c>
      <c r="Y63" s="214"/>
      <c r="Z63" s="218">
        <f t="shared" si="15"/>
        <v>-25</v>
      </c>
      <c r="AA63" s="218"/>
      <c r="AB63" s="71">
        <f t="shared" si="16"/>
        <v>4.62</v>
      </c>
      <c r="AC63" s="67"/>
      <c r="AD63" s="92">
        <f t="shared" si="17"/>
        <v>279972</v>
      </c>
      <c r="AE63" s="169"/>
      <c r="AF63" s="92">
        <f t="shared" si="18"/>
        <v>1512.9099999999744</v>
      </c>
      <c r="AG63" s="68"/>
      <c r="AH63" s="196">
        <f t="shared" si="19"/>
        <v>0.005433149982641882</v>
      </c>
    </row>
    <row r="64" spans="1:34" s="31" customFormat="1" ht="12.75" customHeight="1">
      <c r="A64" s="25">
        <v>373.2</v>
      </c>
      <c r="B64" s="25"/>
      <c r="C64" s="90">
        <v>1757</v>
      </c>
      <c r="D64" s="90"/>
      <c r="E64" s="55"/>
      <c r="F64" s="53" t="s">
        <v>23</v>
      </c>
      <c r="G64" s="53"/>
      <c r="H64" s="51" t="s">
        <v>243</v>
      </c>
      <c r="J64" s="179">
        <f t="shared" si="10"/>
        <v>653788.61</v>
      </c>
      <c r="K64" s="67"/>
      <c r="L64" s="216">
        <v>25</v>
      </c>
      <c r="M64" s="18" t="s">
        <v>9</v>
      </c>
      <c r="N64" s="217" t="s">
        <v>373</v>
      </c>
      <c r="O64" s="67"/>
      <c r="P64" s="218">
        <v>-10</v>
      </c>
      <c r="Q64" s="67"/>
      <c r="R64" s="71">
        <f t="shared" si="11"/>
        <v>4.3999999999999995</v>
      </c>
      <c r="S64" s="67"/>
      <c r="T64" s="92">
        <f t="shared" si="12"/>
        <v>28766.7</v>
      </c>
      <c r="U64" s="67"/>
      <c r="V64" s="216">
        <f t="shared" si="13"/>
        <v>27</v>
      </c>
      <c r="W64" s="18" t="s">
        <v>9</v>
      </c>
      <c r="X64" s="217" t="str">
        <f t="shared" si="14"/>
        <v>R2</v>
      </c>
      <c r="Y64" s="214"/>
      <c r="Z64" s="218">
        <f t="shared" si="15"/>
        <v>-10</v>
      </c>
      <c r="AA64" s="218"/>
      <c r="AB64" s="71">
        <f t="shared" si="16"/>
        <v>4.07</v>
      </c>
      <c r="AC64" s="67"/>
      <c r="AD64" s="92">
        <f t="shared" si="17"/>
        <v>26609</v>
      </c>
      <c r="AE64" s="169"/>
      <c r="AF64" s="92">
        <f t="shared" si="18"/>
        <v>-2157.7000000000007</v>
      </c>
      <c r="AG64" s="68"/>
      <c r="AH64" s="196">
        <f t="shared" si="19"/>
        <v>-0.07500686557721256</v>
      </c>
    </row>
    <row r="65" spans="5:34" s="31" customFormat="1" ht="12.75" customHeight="1">
      <c r="E65" s="55" t="s">
        <v>244</v>
      </c>
      <c r="F65" s="54"/>
      <c r="G65" s="54"/>
      <c r="H65" s="55"/>
      <c r="I65" s="55"/>
      <c r="J65" s="183">
        <f>SUBTOTAL(9,J52:J64)</f>
        <v>348681009.64000005</v>
      </c>
      <c r="K65" s="55"/>
      <c r="L65" s="216"/>
      <c r="M65" s="18"/>
      <c r="N65" s="217"/>
      <c r="O65" s="55"/>
      <c r="P65" s="218"/>
      <c r="Q65" s="55"/>
      <c r="R65" s="69">
        <f>ROUND(T65/J65*100,2)</f>
        <v>3.33</v>
      </c>
      <c r="S65" s="55"/>
      <c r="T65" s="211">
        <f>SUBTOTAL(9,T52:T64)</f>
        <v>11614128.12</v>
      </c>
      <c r="U65" s="55"/>
      <c r="V65" s="55"/>
      <c r="W65" s="55"/>
      <c r="X65" s="55"/>
      <c r="Y65" s="55"/>
      <c r="Z65" s="55"/>
      <c r="AA65" s="55"/>
      <c r="AB65" s="69">
        <f>ROUND(AD65/J65*100,2)</f>
        <v>3.41</v>
      </c>
      <c r="AC65" s="55"/>
      <c r="AD65" s="211">
        <f>SUBTOTAL(9,AD52:AD64)</f>
        <v>11890664</v>
      </c>
      <c r="AE65" s="183"/>
      <c r="AF65" s="211">
        <f>SUBTOTAL(9,AF52:AF64)</f>
        <v>276535.87999999983</v>
      </c>
      <c r="AG65" s="55"/>
      <c r="AH65" s="195">
        <f>AF65/T65</f>
        <v>0.02381030044982833</v>
      </c>
    </row>
    <row r="66" spans="5:32" s="31" customFormat="1" ht="12.75" customHeight="1">
      <c r="E66" s="55"/>
      <c r="F66" s="53"/>
      <c r="G66" s="53"/>
      <c r="J66" s="182"/>
      <c r="L66" s="216"/>
      <c r="M66" s="18"/>
      <c r="N66" s="217"/>
      <c r="P66" s="218"/>
      <c r="R66" s="71"/>
      <c r="T66" s="182"/>
      <c r="AB66" s="69"/>
      <c r="AD66" s="182"/>
      <c r="AE66" s="182"/>
      <c r="AF66" s="182"/>
    </row>
    <row r="67" spans="1:32" s="31" customFormat="1" ht="12.75" customHeight="1">
      <c r="A67" s="25"/>
      <c r="B67" s="25"/>
      <c r="E67" s="55" t="s">
        <v>245</v>
      </c>
      <c r="F67" s="53"/>
      <c r="G67" s="53"/>
      <c r="J67" s="182"/>
      <c r="L67" s="216"/>
      <c r="M67" s="18"/>
      <c r="N67" s="217"/>
      <c r="P67" s="218"/>
      <c r="R67" s="71"/>
      <c r="T67" s="182"/>
      <c r="AB67" s="57"/>
      <c r="AD67" s="182"/>
      <c r="AE67" s="182"/>
      <c r="AF67" s="182"/>
    </row>
    <row r="68" spans="1:34" s="31" customFormat="1" ht="12.75" customHeight="1">
      <c r="A68" s="25">
        <v>390</v>
      </c>
      <c r="B68" s="25"/>
      <c r="C68" s="31">
        <v>1379</v>
      </c>
      <c r="E68" s="55"/>
      <c r="F68" s="53" t="s">
        <v>24</v>
      </c>
      <c r="G68" s="53"/>
      <c r="H68" s="131" t="s">
        <v>282</v>
      </c>
      <c r="J68" s="92">
        <f>VLOOKUP($A68,Deprlot,6,FALSE)</f>
        <v>903406.39</v>
      </c>
      <c r="K68" s="67"/>
      <c r="L68" s="216">
        <v>40</v>
      </c>
      <c r="M68" s="18" t="s">
        <v>9</v>
      </c>
      <c r="N68" s="217" t="s">
        <v>376</v>
      </c>
      <c r="O68" s="67"/>
      <c r="P68" s="218">
        <v>0</v>
      </c>
      <c r="Q68" s="67"/>
      <c r="R68" s="71">
        <f aca="true" t="shared" si="20" ref="R68:R77">VLOOKUP($A68,Controls,6,0)*100</f>
        <v>2.5</v>
      </c>
      <c r="S68" s="67"/>
      <c r="T68" s="92">
        <f aca="true" t="shared" si="21" ref="T68:T77">ROUND(J68*R68/100,2)</f>
        <v>22585.16</v>
      </c>
      <c r="U68" s="67"/>
      <c r="V68" s="216">
        <f aca="true" t="shared" si="22" ref="V68:V77">VLOOKUP($A68,Deprlot,3,FALSE)</f>
        <v>40</v>
      </c>
      <c r="W68" s="18" t="s">
        <v>9</v>
      </c>
      <c r="X68" s="217" t="str">
        <f aca="true" t="shared" si="23" ref="X68:X77">TRIM(VLOOKUP($A68,Deprlot,4,FALSE))</f>
        <v>R1</v>
      </c>
      <c r="Y68" s="214"/>
      <c r="Z68" s="218">
        <f aca="true" t="shared" si="24" ref="Z68:Z77">VLOOKUP($A68,Deprlot,5,FALSE)</f>
        <v>0</v>
      </c>
      <c r="AA68" s="218"/>
      <c r="AB68" s="71">
        <f aca="true" t="shared" si="25" ref="AB68:AB77">ROUND(AD68/J68*100,2)</f>
        <v>2.5</v>
      </c>
      <c r="AC68" s="67"/>
      <c r="AD68" s="92">
        <f aca="true" t="shared" si="26" ref="AD68:AD77">VLOOKUP($A68,Deprlot,9,FALSE)</f>
        <v>22585</v>
      </c>
      <c r="AE68" s="169"/>
      <c r="AF68" s="92">
        <f aca="true" t="shared" si="27" ref="AF68:AF77">AD68-T68</f>
        <v>-0.15999999999985448</v>
      </c>
      <c r="AG68" s="68"/>
      <c r="AH68" s="196">
        <f aca="true" t="shared" si="28" ref="AH68:AH77">AF68/T68</f>
        <v>-7.0842978309586686E-06</v>
      </c>
    </row>
    <row r="69" spans="1:34" s="31" customFormat="1" ht="12.75" customHeight="1">
      <c r="A69" s="25">
        <v>390.11</v>
      </c>
      <c r="B69" s="25"/>
      <c r="C69" s="31">
        <v>1778</v>
      </c>
      <c r="E69" s="55"/>
      <c r="F69" s="53" t="s">
        <v>246</v>
      </c>
      <c r="G69" s="53"/>
      <c r="H69" s="51" t="s">
        <v>247</v>
      </c>
      <c r="J69" s="92">
        <f>VLOOKUP($A69,Deprlot,6,FALSE)</f>
        <v>4981389.66</v>
      </c>
      <c r="K69" s="67"/>
      <c r="L69" s="216">
        <v>40</v>
      </c>
      <c r="M69" s="18" t="s">
        <v>9</v>
      </c>
      <c r="N69" s="217" t="s">
        <v>376</v>
      </c>
      <c r="O69" s="67"/>
      <c r="P69" s="218">
        <v>0</v>
      </c>
      <c r="Q69" s="67"/>
      <c r="R69" s="71">
        <f t="shared" si="20"/>
        <v>2.5</v>
      </c>
      <c r="S69" s="67"/>
      <c r="T69" s="92">
        <f t="shared" si="21"/>
        <v>124534.74</v>
      </c>
      <c r="U69" s="67"/>
      <c r="V69" s="216">
        <f t="shared" si="22"/>
        <v>40</v>
      </c>
      <c r="W69" s="18" t="s">
        <v>9</v>
      </c>
      <c r="X69" s="217" t="str">
        <f t="shared" si="23"/>
        <v>R1</v>
      </c>
      <c r="Y69" s="214"/>
      <c r="Z69" s="218">
        <f t="shared" si="24"/>
        <v>0</v>
      </c>
      <c r="AA69" s="218"/>
      <c r="AB69" s="71">
        <f t="shared" si="25"/>
        <v>2.5</v>
      </c>
      <c r="AC69" s="67"/>
      <c r="AD69" s="92">
        <f t="shared" si="26"/>
        <v>124535</v>
      </c>
      <c r="AE69" s="169"/>
      <c r="AF69" s="92">
        <f t="shared" si="27"/>
        <v>0.2599999999947613</v>
      </c>
      <c r="AG69" s="68"/>
      <c r="AH69" s="196">
        <f t="shared" si="28"/>
        <v>2.0877708500837704E-06</v>
      </c>
    </row>
    <row r="70" spans="1:34" s="31" customFormat="1" ht="12.75" customHeight="1">
      <c r="A70" s="25">
        <v>390.12</v>
      </c>
      <c r="B70" s="25"/>
      <c r="C70" s="31">
        <v>1779</v>
      </c>
      <c r="E70" s="55"/>
      <c r="F70" s="53" t="s">
        <v>248</v>
      </c>
      <c r="G70" s="53"/>
      <c r="H70" s="51" t="s">
        <v>249</v>
      </c>
      <c r="J70" s="92">
        <f>VLOOKUP($A70,Deprlot,6,FALSE)</f>
        <v>6358301.06</v>
      </c>
      <c r="K70" s="67"/>
      <c r="L70" s="216">
        <v>40</v>
      </c>
      <c r="M70" s="18" t="s">
        <v>9</v>
      </c>
      <c r="N70" s="217" t="s">
        <v>376</v>
      </c>
      <c r="O70" s="67"/>
      <c r="P70" s="218">
        <v>0</v>
      </c>
      <c r="Q70" s="67"/>
      <c r="R70" s="71">
        <f t="shared" si="20"/>
        <v>2.5</v>
      </c>
      <c r="S70" s="67"/>
      <c r="T70" s="92">
        <f t="shared" si="21"/>
        <v>158957.53</v>
      </c>
      <c r="U70" s="67"/>
      <c r="V70" s="216">
        <f t="shared" si="22"/>
        <v>40</v>
      </c>
      <c r="W70" s="18" t="s">
        <v>9</v>
      </c>
      <c r="X70" s="217" t="str">
        <f t="shared" si="23"/>
        <v>R1</v>
      </c>
      <c r="Y70" s="214"/>
      <c r="Z70" s="218">
        <f t="shared" si="24"/>
        <v>0</v>
      </c>
      <c r="AA70" s="218"/>
      <c r="AB70" s="71">
        <f t="shared" si="25"/>
        <v>2.5</v>
      </c>
      <c r="AC70" s="67"/>
      <c r="AD70" s="92">
        <f t="shared" si="26"/>
        <v>158958</v>
      </c>
      <c r="AE70" s="169"/>
      <c r="AF70" s="92">
        <f t="shared" si="27"/>
        <v>0.47000000000116415</v>
      </c>
      <c r="AG70" s="68"/>
      <c r="AH70" s="196">
        <f t="shared" si="28"/>
        <v>2.956764615058904E-06</v>
      </c>
    </row>
    <row r="71" spans="1:34" ht="12.75" customHeight="1">
      <c r="A71" s="95">
        <v>391.12</v>
      </c>
      <c r="C71" s="25">
        <v>1780</v>
      </c>
      <c r="E71" s="55"/>
      <c r="F71" s="53" t="s">
        <v>250</v>
      </c>
      <c r="G71" s="53"/>
      <c r="H71" s="51" t="s">
        <v>251</v>
      </c>
      <c r="I71" s="31"/>
      <c r="J71" s="92">
        <f aca="true" t="shared" si="29" ref="J71:J77">VLOOKUP($A71,Deprlot,6,FALSE)</f>
        <v>77036.81</v>
      </c>
      <c r="K71" s="67"/>
      <c r="L71" s="216">
        <v>15</v>
      </c>
      <c r="M71" s="18" t="s">
        <v>9</v>
      </c>
      <c r="N71" s="217" t="s">
        <v>377</v>
      </c>
      <c r="O71" s="67"/>
      <c r="P71" s="218">
        <v>0</v>
      </c>
      <c r="Q71" s="67"/>
      <c r="R71" s="71">
        <f t="shared" si="20"/>
        <v>6.67</v>
      </c>
      <c r="S71" s="67"/>
      <c r="T71" s="92">
        <f t="shared" si="21"/>
        <v>5138.36</v>
      </c>
      <c r="U71" s="67"/>
      <c r="V71" s="216">
        <f t="shared" si="22"/>
        <v>15</v>
      </c>
      <c r="W71" s="18" t="s">
        <v>9</v>
      </c>
      <c r="X71" s="217" t="str">
        <f t="shared" si="23"/>
        <v>SQ</v>
      </c>
      <c r="Y71" s="214"/>
      <c r="Z71" s="218">
        <f t="shared" si="24"/>
        <v>0</v>
      </c>
      <c r="AA71" s="218"/>
      <c r="AB71" s="71">
        <f t="shared" si="25"/>
        <v>6.67</v>
      </c>
      <c r="AC71" s="67"/>
      <c r="AD71" s="92">
        <f t="shared" si="26"/>
        <v>5138</v>
      </c>
      <c r="AE71" s="169"/>
      <c r="AF71" s="92">
        <f t="shared" si="27"/>
        <v>-0.3599999999996726</v>
      </c>
      <c r="AG71" s="68"/>
      <c r="AH71" s="196">
        <f t="shared" si="28"/>
        <v>-7.006126468360967E-05</v>
      </c>
    </row>
    <row r="72" spans="1:34" ht="12.75" customHeight="1">
      <c r="A72" s="95">
        <v>391.3</v>
      </c>
      <c r="C72" s="25">
        <v>1784</v>
      </c>
      <c r="E72" s="55"/>
      <c r="F72" s="53" t="s">
        <v>252</v>
      </c>
      <c r="G72" s="53"/>
      <c r="H72" s="51" t="s">
        <v>253</v>
      </c>
      <c r="I72" s="31"/>
      <c r="J72" s="92">
        <f t="shared" si="29"/>
        <v>1127560.69</v>
      </c>
      <c r="K72" s="67"/>
      <c r="L72" s="216">
        <v>5</v>
      </c>
      <c r="M72" s="18" t="s">
        <v>9</v>
      </c>
      <c r="N72" s="217" t="s">
        <v>377</v>
      </c>
      <c r="O72" s="67"/>
      <c r="P72" s="218">
        <v>0</v>
      </c>
      <c r="Q72" s="67"/>
      <c r="R72" s="71">
        <f t="shared" si="20"/>
        <v>20</v>
      </c>
      <c r="S72" s="67"/>
      <c r="T72" s="92">
        <f t="shared" si="21"/>
        <v>225512.14</v>
      </c>
      <c r="U72" s="67"/>
      <c r="V72" s="216">
        <f t="shared" si="22"/>
        <v>5</v>
      </c>
      <c r="W72" s="18" t="s">
        <v>9</v>
      </c>
      <c r="X72" s="217" t="str">
        <f t="shared" si="23"/>
        <v>SQ</v>
      </c>
      <c r="Y72" s="214"/>
      <c r="Z72" s="218">
        <f t="shared" si="24"/>
        <v>0</v>
      </c>
      <c r="AA72" s="218"/>
      <c r="AB72" s="71">
        <f t="shared" si="25"/>
        <v>20</v>
      </c>
      <c r="AC72" s="67"/>
      <c r="AD72" s="92">
        <f t="shared" si="26"/>
        <v>225512</v>
      </c>
      <c r="AE72" s="169"/>
      <c r="AF72" s="92">
        <f t="shared" si="27"/>
        <v>-0.14000000001396984</v>
      </c>
      <c r="AG72" s="68"/>
      <c r="AH72" s="196">
        <f t="shared" si="28"/>
        <v>-6.208091502921742E-07</v>
      </c>
    </row>
    <row r="73" spans="1:34" ht="14.25">
      <c r="A73" s="95">
        <v>391.4</v>
      </c>
      <c r="C73" s="35" t="s">
        <v>172</v>
      </c>
      <c r="E73" s="55"/>
      <c r="F73" s="53" t="s">
        <v>254</v>
      </c>
      <c r="G73" s="53"/>
      <c r="H73" s="131" t="s">
        <v>317</v>
      </c>
      <c r="I73" s="31"/>
      <c r="J73" s="92">
        <f t="shared" si="29"/>
        <v>5977486.48</v>
      </c>
      <c r="K73" s="67"/>
      <c r="L73" s="216">
        <v>10</v>
      </c>
      <c r="M73" s="18" t="s">
        <v>9</v>
      </c>
      <c r="N73" s="217" t="s">
        <v>377</v>
      </c>
      <c r="O73" s="67"/>
      <c r="P73" s="218">
        <v>0</v>
      </c>
      <c r="Q73" s="67"/>
      <c r="R73" s="71">
        <f t="shared" si="20"/>
        <v>10</v>
      </c>
      <c r="S73" s="67"/>
      <c r="T73" s="92">
        <f t="shared" si="21"/>
        <v>597748.65</v>
      </c>
      <c r="U73" s="67"/>
      <c r="V73" s="216">
        <f t="shared" si="22"/>
        <v>10</v>
      </c>
      <c r="W73" s="18" t="s">
        <v>9</v>
      </c>
      <c r="X73" s="217" t="str">
        <f t="shared" si="23"/>
        <v>SQ</v>
      </c>
      <c r="Y73" s="214"/>
      <c r="Z73" s="218">
        <f t="shared" si="24"/>
        <v>0</v>
      </c>
      <c r="AA73" s="218"/>
      <c r="AB73" s="71">
        <f t="shared" si="25"/>
        <v>10</v>
      </c>
      <c r="AC73" s="67"/>
      <c r="AD73" s="92">
        <f t="shared" si="26"/>
        <v>597749</v>
      </c>
      <c r="AE73" s="169"/>
      <c r="AF73" s="92">
        <f t="shared" si="27"/>
        <v>0.34999999997671694</v>
      </c>
      <c r="AG73" s="68"/>
      <c r="AH73" s="196">
        <f t="shared" si="28"/>
        <v>5.855303896992773E-07</v>
      </c>
    </row>
    <row r="74" spans="1:34" ht="12.75" customHeight="1">
      <c r="A74" s="25">
        <v>392</v>
      </c>
      <c r="C74" s="25">
        <v>1781</v>
      </c>
      <c r="E74" s="55"/>
      <c r="F74" s="53" t="s">
        <v>25</v>
      </c>
      <c r="G74" s="53"/>
      <c r="H74" s="51" t="s">
        <v>255</v>
      </c>
      <c r="I74" s="31"/>
      <c r="J74" s="92">
        <f t="shared" si="29"/>
        <v>11944126.05</v>
      </c>
      <c r="K74" s="67"/>
      <c r="L74" s="216">
        <v>12</v>
      </c>
      <c r="M74" s="18" t="s">
        <v>9</v>
      </c>
      <c r="N74" s="217" t="s">
        <v>370</v>
      </c>
      <c r="O74" s="67"/>
      <c r="P74" s="218">
        <v>10</v>
      </c>
      <c r="Q74" s="67"/>
      <c r="R74" s="71">
        <f t="shared" si="20"/>
        <v>7.000000000000001</v>
      </c>
      <c r="S74" s="67"/>
      <c r="T74" s="92">
        <f t="shared" si="21"/>
        <v>836088.82</v>
      </c>
      <c r="U74" s="67"/>
      <c r="V74" s="216">
        <f t="shared" si="22"/>
        <v>13</v>
      </c>
      <c r="W74" s="18" t="s">
        <v>9</v>
      </c>
      <c r="X74" s="217" t="str">
        <f t="shared" si="23"/>
        <v>S2</v>
      </c>
      <c r="Y74" s="214"/>
      <c r="Z74" s="218">
        <f t="shared" si="24"/>
        <v>10</v>
      </c>
      <c r="AA74" s="218"/>
      <c r="AB74" s="71">
        <f t="shared" si="25"/>
        <v>6.7</v>
      </c>
      <c r="AC74" s="67"/>
      <c r="AD74" s="92">
        <f t="shared" si="26"/>
        <v>799747</v>
      </c>
      <c r="AE74" s="169"/>
      <c r="AF74" s="92">
        <f t="shared" si="27"/>
        <v>-36341.81999999995</v>
      </c>
      <c r="AG74" s="68"/>
      <c r="AH74" s="196">
        <f t="shared" si="28"/>
        <v>-0.043466458503774695</v>
      </c>
    </row>
    <row r="75" spans="1:34" ht="12.75" customHeight="1">
      <c r="A75" s="95">
        <v>394</v>
      </c>
      <c r="C75" s="87" t="s">
        <v>65</v>
      </c>
      <c r="D75" s="87"/>
      <c r="E75" s="55"/>
      <c r="F75" s="53" t="s">
        <v>26</v>
      </c>
      <c r="G75" s="53"/>
      <c r="H75" s="51" t="s">
        <v>256</v>
      </c>
      <c r="I75" s="31"/>
      <c r="J75" s="92">
        <f t="shared" si="29"/>
        <v>1115936.44</v>
      </c>
      <c r="K75" s="67"/>
      <c r="L75" s="216">
        <v>20</v>
      </c>
      <c r="M75" s="18" t="s">
        <v>9</v>
      </c>
      <c r="N75" s="217" t="s">
        <v>377</v>
      </c>
      <c r="O75" s="67"/>
      <c r="P75" s="218">
        <v>0</v>
      </c>
      <c r="Q75" s="67"/>
      <c r="R75" s="71">
        <f t="shared" si="20"/>
        <v>5</v>
      </c>
      <c r="S75" s="67"/>
      <c r="T75" s="92">
        <f t="shared" si="21"/>
        <v>55796.82</v>
      </c>
      <c r="U75" s="67"/>
      <c r="V75" s="216">
        <f t="shared" si="22"/>
        <v>20</v>
      </c>
      <c r="W75" s="18" t="s">
        <v>9</v>
      </c>
      <c r="X75" s="217" t="str">
        <f t="shared" si="23"/>
        <v>SQ</v>
      </c>
      <c r="Y75" s="214"/>
      <c r="Z75" s="218">
        <f t="shared" si="24"/>
        <v>0</v>
      </c>
      <c r="AA75" s="218"/>
      <c r="AB75" s="71">
        <f t="shared" si="25"/>
        <v>5</v>
      </c>
      <c r="AC75" s="67"/>
      <c r="AD75" s="92">
        <f t="shared" si="26"/>
        <v>55797</v>
      </c>
      <c r="AE75" s="169"/>
      <c r="AF75" s="92">
        <f t="shared" si="27"/>
        <v>0.18000000000029104</v>
      </c>
      <c r="AG75" s="68"/>
      <c r="AH75" s="196">
        <f t="shared" si="28"/>
        <v>3.2259902983770587E-06</v>
      </c>
    </row>
    <row r="76" spans="1:34" ht="12.75" customHeight="1">
      <c r="A76" s="25">
        <v>397</v>
      </c>
      <c r="C76" s="25">
        <v>1760</v>
      </c>
      <c r="E76" s="55"/>
      <c r="F76" s="53" t="s">
        <v>27</v>
      </c>
      <c r="G76" s="53"/>
      <c r="H76" s="51" t="s">
        <v>257</v>
      </c>
      <c r="I76" s="31"/>
      <c r="J76" s="92">
        <f t="shared" si="29"/>
        <v>10214241.58</v>
      </c>
      <c r="K76" s="67"/>
      <c r="L76" s="216">
        <v>20</v>
      </c>
      <c r="M76" s="18" t="s">
        <v>9</v>
      </c>
      <c r="N76" s="217" t="s">
        <v>378</v>
      </c>
      <c r="O76" s="67"/>
      <c r="P76" s="218">
        <v>-5</v>
      </c>
      <c r="Q76" s="67"/>
      <c r="R76" s="71">
        <f t="shared" si="20"/>
        <v>4.77</v>
      </c>
      <c r="S76" s="67"/>
      <c r="T76" s="92">
        <f t="shared" si="21"/>
        <v>487219.32</v>
      </c>
      <c r="U76" s="67"/>
      <c r="V76" s="216">
        <f t="shared" si="22"/>
        <v>20</v>
      </c>
      <c r="W76" s="18" t="s">
        <v>9</v>
      </c>
      <c r="X76" s="217" t="str">
        <f t="shared" si="23"/>
        <v>S4</v>
      </c>
      <c r="Y76" s="214"/>
      <c r="Z76" s="218">
        <f t="shared" si="24"/>
        <v>-5</v>
      </c>
      <c r="AA76" s="218"/>
      <c r="AB76" s="71">
        <f t="shared" si="25"/>
        <v>4.8</v>
      </c>
      <c r="AC76" s="67"/>
      <c r="AD76" s="92">
        <f t="shared" si="26"/>
        <v>489939</v>
      </c>
      <c r="AE76" s="169"/>
      <c r="AF76" s="92">
        <f t="shared" si="27"/>
        <v>2719.679999999993</v>
      </c>
      <c r="AG76" s="68"/>
      <c r="AH76" s="196">
        <f t="shared" si="28"/>
        <v>0.00558204465290907</v>
      </c>
    </row>
    <row r="77" spans="1:34" ht="12.75" customHeight="1">
      <c r="A77" s="25">
        <v>397.5</v>
      </c>
      <c r="C77" s="25">
        <v>1763</v>
      </c>
      <c r="E77" s="55"/>
      <c r="F77" s="53" t="s">
        <v>258</v>
      </c>
      <c r="G77" s="53"/>
      <c r="H77" s="51" t="s">
        <v>259</v>
      </c>
      <c r="I77" s="31"/>
      <c r="J77" s="179">
        <f t="shared" si="29"/>
        <v>1815240.61</v>
      </c>
      <c r="K77" s="67"/>
      <c r="L77" s="216">
        <v>15</v>
      </c>
      <c r="M77" s="18" t="s">
        <v>9</v>
      </c>
      <c r="N77" s="217" t="s">
        <v>372</v>
      </c>
      <c r="O77" s="67"/>
      <c r="P77" s="218">
        <v>0</v>
      </c>
      <c r="Q77" s="67"/>
      <c r="R77" s="71">
        <f t="shared" si="20"/>
        <v>6.67</v>
      </c>
      <c r="S77" s="67"/>
      <c r="T77" s="92">
        <f t="shared" si="21"/>
        <v>121076.55</v>
      </c>
      <c r="U77" s="67"/>
      <c r="V77" s="216">
        <f t="shared" si="22"/>
        <v>15</v>
      </c>
      <c r="W77" s="18" t="s">
        <v>9</v>
      </c>
      <c r="X77" s="217" t="str">
        <f t="shared" si="23"/>
        <v>S2</v>
      </c>
      <c r="Y77" s="214"/>
      <c r="Z77" s="218">
        <f t="shared" si="24"/>
        <v>0</v>
      </c>
      <c r="AA77" s="218"/>
      <c r="AB77" s="71">
        <f t="shared" si="25"/>
        <v>5.86</v>
      </c>
      <c r="AC77" s="67"/>
      <c r="AD77" s="92">
        <f t="shared" si="26"/>
        <v>106400</v>
      </c>
      <c r="AE77" s="169"/>
      <c r="AF77" s="92">
        <f t="shared" si="27"/>
        <v>-14676.550000000003</v>
      </c>
      <c r="AG77" s="68"/>
      <c r="AH77" s="196">
        <f t="shared" si="28"/>
        <v>-0.1212171142966991</v>
      </c>
    </row>
    <row r="78" spans="5:34" ht="12.75" customHeight="1">
      <c r="E78" s="55" t="s">
        <v>260</v>
      </c>
      <c r="F78" s="54"/>
      <c r="G78" s="54"/>
      <c r="H78" s="55"/>
      <c r="I78" s="55"/>
      <c r="J78" s="183">
        <f>SUBTOTAL(9,J68:J77)</f>
        <v>44514725.77</v>
      </c>
      <c r="K78" s="55"/>
      <c r="L78" s="216"/>
      <c r="M78" s="18"/>
      <c r="N78" s="217"/>
      <c r="O78" s="55"/>
      <c r="P78" s="218"/>
      <c r="Q78" s="55"/>
      <c r="R78" s="69">
        <f>ROUND(T78/J78*100,2)</f>
        <v>5.92</v>
      </c>
      <c r="S78" s="55"/>
      <c r="T78" s="241">
        <f>SUBTOTAL(9,T68:T77)</f>
        <v>2634658.09</v>
      </c>
      <c r="U78" s="55"/>
      <c r="V78" s="55"/>
      <c r="W78" s="55"/>
      <c r="X78" s="55"/>
      <c r="Y78" s="55"/>
      <c r="Z78" s="55"/>
      <c r="AA78" s="55"/>
      <c r="AB78" s="69">
        <f>ROUND(AD78/J78*100,2)</f>
        <v>5.81</v>
      </c>
      <c r="AC78" s="55"/>
      <c r="AD78" s="241">
        <f>SUBTOTAL(9,AD68:AD77)</f>
        <v>2586360</v>
      </c>
      <c r="AE78" s="183"/>
      <c r="AF78" s="241">
        <f>SUBTOTAL(9,AF68:AF77)</f>
        <v>-48298.09</v>
      </c>
      <c r="AG78" s="55"/>
      <c r="AH78" s="195">
        <f>AF78/T78</f>
        <v>-0.018331824604990776</v>
      </c>
    </row>
    <row r="79" spans="10:32" ht="12.75" customHeight="1">
      <c r="J79" s="212"/>
      <c r="L79" s="216"/>
      <c r="M79" s="18"/>
      <c r="N79" s="217"/>
      <c r="P79" s="218"/>
      <c r="R79" s="71"/>
      <c r="T79" s="212"/>
      <c r="AD79" s="212"/>
      <c r="AE79" s="186"/>
      <c r="AF79" s="212"/>
    </row>
    <row r="80" spans="5:34" ht="12.75" customHeight="1" thickBot="1">
      <c r="E80" s="28" t="s">
        <v>11</v>
      </c>
      <c r="F80" s="54"/>
      <c r="G80" s="54"/>
      <c r="H80" s="55"/>
      <c r="I80" s="55"/>
      <c r="J80" s="121">
        <f>SUBTOTAL(9,J13:J79)</f>
        <v>627104044.0000001</v>
      </c>
      <c r="K80" s="55"/>
      <c r="L80" s="216"/>
      <c r="M80" s="18"/>
      <c r="N80" s="217"/>
      <c r="O80" s="55"/>
      <c r="P80" s="218"/>
      <c r="Q80" s="55"/>
      <c r="R80" s="69">
        <f>ROUND(T80/J80*100,2)</f>
        <v>3.73</v>
      </c>
      <c r="S80" s="55"/>
      <c r="T80" s="121">
        <f>SUBTOTAL(9,T13:T79)</f>
        <v>23394394</v>
      </c>
      <c r="U80" s="55"/>
      <c r="V80" s="55"/>
      <c r="W80" s="55"/>
      <c r="X80" s="55"/>
      <c r="Y80" s="55"/>
      <c r="Z80" s="55"/>
      <c r="AA80" s="55"/>
      <c r="AB80" s="69">
        <f>ROUND(AD80/J80*100,2)</f>
        <v>4.28</v>
      </c>
      <c r="AC80" s="55"/>
      <c r="AD80" s="121">
        <f>SUBTOTAL(9,AD13:AD79)</f>
        <v>26844993</v>
      </c>
      <c r="AE80" s="183"/>
      <c r="AF80" s="121">
        <f>SUBTOTAL(9,AF13:AF79)</f>
        <v>3450599.0000000005</v>
      </c>
      <c r="AG80" s="55"/>
      <c r="AH80" s="195">
        <f>AF80/T80</f>
        <v>0.14749683193332558</v>
      </c>
    </row>
    <row r="81" spans="6:34" ht="12.75" customHeight="1" thickTop="1">
      <c r="F81" s="54"/>
      <c r="G81" s="54"/>
      <c r="H81" s="55"/>
      <c r="I81" s="55"/>
      <c r="J81" s="183"/>
      <c r="K81" s="55"/>
      <c r="L81" s="216"/>
      <c r="M81" s="18"/>
      <c r="N81" s="217"/>
      <c r="O81" s="55"/>
      <c r="P81" s="218"/>
      <c r="Q81" s="55"/>
      <c r="R81" s="69"/>
      <c r="S81" s="55"/>
      <c r="T81" s="183"/>
      <c r="U81" s="55"/>
      <c r="V81" s="55"/>
      <c r="W81" s="55"/>
      <c r="X81" s="55"/>
      <c r="Y81" s="55"/>
      <c r="Z81" s="55"/>
      <c r="AA81" s="55"/>
      <c r="AB81" s="69"/>
      <c r="AC81" s="55"/>
      <c r="AD81" s="183"/>
      <c r="AE81" s="183"/>
      <c r="AF81" s="183"/>
      <c r="AG81" s="55"/>
      <c r="AH81" s="195"/>
    </row>
    <row r="82" spans="6:34" ht="12.75" customHeight="1">
      <c r="F82" s="54"/>
      <c r="G82" s="54"/>
      <c r="H82" s="55"/>
      <c r="I82" s="55"/>
      <c r="J82" s="183"/>
      <c r="K82" s="55"/>
      <c r="L82" s="216"/>
      <c r="M82" s="18"/>
      <c r="N82" s="217"/>
      <c r="O82" s="55"/>
      <c r="P82" s="218"/>
      <c r="Q82" s="55"/>
      <c r="R82" s="69"/>
      <c r="S82" s="55"/>
      <c r="T82" s="183"/>
      <c r="U82" s="55"/>
      <c r="V82" s="55"/>
      <c r="W82" s="55"/>
      <c r="X82" s="55"/>
      <c r="Y82" s="55"/>
      <c r="Z82" s="55"/>
      <c r="AA82" s="55"/>
      <c r="AB82" s="69"/>
      <c r="AC82" s="55"/>
      <c r="AD82" s="183"/>
      <c r="AE82" s="183"/>
      <c r="AF82" s="183"/>
      <c r="AG82" s="55"/>
      <c r="AH82" s="195"/>
    </row>
    <row r="83" spans="6:34" ht="12.75" customHeight="1">
      <c r="F83" s="193" t="s">
        <v>381</v>
      </c>
      <c r="G83" s="54"/>
      <c r="H83" s="55"/>
      <c r="I83" s="55"/>
      <c r="J83" s="183"/>
      <c r="K83" s="55"/>
      <c r="L83" s="216"/>
      <c r="M83" s="18"/>
      <c r="N83" s="217"/>
      <c r="O83" s="55"/>
      <c r="P83" s="218"/>
      <c r="Q83" s="55"/>
      <c r="R83" s="69"/>
      <c r="S83" s="55"/>
      <c r="T83" s="183">
        <v>0</v>
      </c>
      <c r="U83" s="55"/>
      <c r="V83" s="55"/>
      <c r="W83" s="55"/>
      <c r="X83" s="55"/>
      <c r="Y83" s="55"/>
      <c r="Z83" s="55"/>
      <c r="AA83" s="55"/>
      <c r="AB83" s="69"/>
      <c r="AC83" s="55"/>
      <c r="AD83" s="242">
        <f>Table2!V80-Table2!V27</f>
        <v>1412400</v>
      </c>
      <c r="AE83" s="183"/>
      <c r="AF83" s="92">
        <f>AD83-T83</f>
        <v>1412400</v>
      </c>
      <c r="AG83" s="55"/>
      <c r="AH83" s="196"/>
    </row>
    <row r="84" spans="6:34" ht="12.75" customHeight="1">
      <c r="F84" s="193"/>
      <c r="G84" s="54"/>
      <c r="H84" s="55"/>
      <c r="I84" s="55"/>
      <c r="J84" s="183"/>
      <c r="K84" s="55"/>
      <c r="L84" s="216"/>
      <c r="M84" s="18"/>
      <c r="N84" s="217"/>
      <c r="O84" s="55"/>
      <c r="P84" s="218"/>
      <c r="Q84" s="55"/>
      <c r="R84" s="69"/>
      <c r="S84" s="55"/>
      <c r="T84" s="211"/>
      <c r="U84" s="55"/>
      <c r="V84" s="55"/>
      <c r="W84" s="55"/>
      <c r="X84" s="55"/>
      <c r="Y84" s="55"/>
      <c r="Z84" s="55"/>
      <c r="AA84" s="55"/>
      <c r="AB84" s="69"/>
      <c r="AC84" s="55"/>
      <c r="AD84" s="211"/>
      <c r="AE84" s="183"/>
      <c r="AF84" s="211"/>
      <c r="AG84" s="55"/>
      <c r="AH84" s="195"/>
    </row>
    <row r="85" spans="5:34" ht="13.5" thickBot="1">
      <c r="E85" s="28" t="s">
        <v>316</v>
      </c>
      <c r="F85" s="193"/>
      <c r="G85" s="54"/>
      <c r="H85" s="55"/>
      <c r="I85" s="55"/>
      <c r="J85" s="183"/>
      <c r="K85" s="55"/>
      <c r="L85" s="216"/>
      <c r="M85" s="18"/>
      <c r="N85" s="217"/>
      <c r="O85" s="55"/>
      <c r="P85" s="218"/>
      <c r="Q85" s="55"/>
      <c r="R85" s="69"/>
      <c r="S85" s="55"/>
      <c r="T85" s="121">
        <f>SUM(T80:T84)</f>
        <v>23394394</v>
      </c>
      <c r="U85" s="55"/>
      <c r="V85" s="55"/>
      <c r="W85" s="55"/>
      <c r="X85" s="55"/>
      <c r="Y85" s="55"/>
      <c r="Z85" s="55"/>
      <c r="AA85" s="55"/>
      <c r="AB85" s="69"/>
      <c r="AC85" s="55"/>
      <c r="AD85" s="121">
        <f>SUM(AD80:AD84)</f>
        <v>28257393</v>
      </c>
      <c r="AE85" s="183"/>
      <c r="AF85" s="121">
        <f>SUM(AF80:AF84)</f>
        <v>4862999</v>
      </c>
      <c r="AG85" s="55"/>
      <c r="AH85" s="195">
        <f>AF85/T85</f>
        <v>0.20787027011684936</v>
      </c>
    </row>
    <row r="86" spans="6:34" ht="12.75" customHeight="1" thickTop="1">
      <c r="F86" s="54"/>
      <c r="G86" s="54"/>
      <c r="H86" s="55"/>
      <c r="I86" s="55"/>
      <c r="J86" s="183"/>
      <c r="K86" s="55"/>
      <c r="L86" s="216"/>
      <c r="M86" s="18"/>
      <c r="N86" s="217"/>
      <c r="O86" s="55"/>
      <c r="P86" s="218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69"/>
      <c r="AC86" s="55"/>
      <c r="AD86" s="183"/>
      <c r="AE86" s="55"/>
      <c r="AF86" s="50"/>
      <c r="AG86" s="55"/>
      <c r="AH86" s="55"/>
    </row>
    <row r="87" spans="10:34" ht="12.75">
      <c r="J87" s="186"/>
      <c r="L87" s="216"/>
      <c r="M87" s="18"/>
      <c r="N87" s="217"/>
      <c r="T87" s="183"/>
      <c r="AB87" s="69"/>
      <c r="AD87" s="183"/>
      <c r="AF87" s="183"/>
      <c r="AH87" s="195"/>
    </row>
    <row r="88" spans="5:34" ht="12.75">
      <c r="E88" s="125" t="s">
        <v>318</v>
      </c>
      <c r="F88" s="126"/>
      <c r="G88" s="126"/>
      <c r="H88" s="127"/>
      <c r="J88" s="186"/>
      <c r="L88" s="216"/>
      <c r="M88" s="18"/>
      <c r="N88" s="217"/>
      <c r="T88" s="183"/>
      <c r="AB88" s="69"/>
      <c r="AD88" s="183"/>
      <c r="AF88" s="183"/>
      <c r="AH88" s="195"/>
    </row>
    <row r="89" spans="5:34" ht="12.75">
      <c r="E89" s="124" t="s">
        <v>380</v>
      </c>
      <c r="J89" s="186"/>
      <c r="T89" s="183"/>
      <c r="AB89" s="69"/>
      <c r="AD89" s="183"/>
      <c r="AF89" s="183"/>
      <c r="AH89" s="195"/>
    </row>
    <row r="90" spans="10:34" ht="12.75">
      <c r="J90" s="186"/>
      <c r="T90" s="183"/>
      <c r="AB90" s="69"/>
      <c r="AD90" s="183"/>
      <c r="AF90" s="183"/>
      <c r="AH90" s="195"/>
    </row>
    <row r="91" spans="10:34" ht="12.75">
      <c r="J91" s="186"/>
      <c r="T91" s="183"/>
      <c r="AB91" s="69"/>
      <c r="AD91" s="183"/>
      <c r="AF91" s="183"/>
      <c r="AH91" s="195"/>
    </row>
    <row r="92" spans="10:34" ht="12.75">
      <c r="J92" s="186"/>
      <c r="T92" s="183"/>
      <c r="AB92" s="69"/>
      <c r="AD92" s="183"/>
      <c r="AF92" s="183"/>
      <c r="AH92" s="195"/>
    </row>
    <row r="95" ht="12.75" customHeight="1" hidden="1" outlineLevel="1"/>
    <row r="96" spans="10:32" ht="12.75" customHeight="1" hidden="1" outlineLevel="1">
      <c r="J96" s="123">
        <f>Table1!R80</f>
        <v>627104044.0000001</v>
      </c>
      <c r="AD96" s="23">
        <f>Table3!P80</f>
        <v>28257393</v>
      </c>
      <c r="AF96" s="157">
        <f>AD85-T85</f>
        <v>4862999</v>
      </c>
    </row>
    <row r="97" spans="10:32" ht="12.75" customHeight="1" hidden="1" outlineLevel="1">
      <c r="J97" s="81">
        <f>J96-J80</f>
        <v>0</v>
      </c>
      <c r="AD97" s="81">
        <f>AD96-AD85</f>
        <v>0</v>
      </c>
      <c r="AE97" s="81"/>
      <c r="AF97" s="81">
        <f>AF96-AF85</f>
        <v>0</v>
      </c>
    </row>
    <row r="98" ht="12.75" customHeight="1" hidden="1" outlineLevel="1">
      <c r="J98" s="25"/>
    </row>
    <row r="99" ht="12.75" customHeight="1" collapsed="1"/>
  </sheetData>
  <sheetProtection/>
  <printOptions/>
  <pageMargins left="0.75" right="0.75" top="1" bottom="1" header="0.5" footer="0.5"/>
  <pageSetup fitToHeight="0" fitToWidth="1" horizontalDpi="600" verticalDpi="600" orientation="landscape" scale="56" r:id="rId1"/>
  <rowBreaks count="1" manualBreakCount="1">
    <brk id="65" min="4" max="33" man="1"/>
  </rowBreaks>
  <ignoredErrors>
    <ignoredError sqref="F24:F77 F16:F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S1" sqref="S1"/>
    </sheetView>
  </sheetViews>
  <sheetFormatPr defaultColWidth="9.140625" defaultRowHeight="12.75"/>
  <cols>
    <col min="1" max="1" width="15.00390625" style="0" bestFit="1" customWidth="1"/>
    <col min="2" max="2" width="8.7109375" style="0" bestFit="1" customWidth="1"/>
    <col min="3" max="3" width="4.7109375" style="0" bestFit="1" customWidth="1"/>
    <col min="4" max="4" width="5.28125" style="0" bestFit="1" customWidth="1"/>
    <col min="5" max="5" width="8.28125" style="0" bestFit="1" customWidth="1"/>
    <col min="6" max="7" width="10.421875" style="0" bestFit="1" customWidth="1"/>
    <col min="8" max="8" width="10.00390625" style="0" bestFit="1" customWidth="1"/>
    <col min="9" max="9" width="10.140625" style="0" bestFit="1" customWidth="1"/>
    <col min="10" max="10" width="8.7109375" style="0" bestFit="1" customWidth="1"/>
    <col min="11" max="11" width="9.140625" style="0" bestFit="1" customWidth="1"/>
    <col min="12" max="12" width="8.421875" style="0" bestFit="1" customWidth="1"/>
    <col min="13" max="13" width="8.8515625" style="0" bestFit="1" customWidth="1"/>
    <col min="14" max="14" width="8.7109375" style="0" bestFit="1" customWidth="1"/>
    <col min="15" max="15" width="9.140625" style="0" bestFit="1" customWidth="1"/>
    <col min="16" max="16" width="8.421875" style="0" bestFit="1" customWidth="1"/>
    <col min="17" max="17" width="13.8515625" style="0" bestFit="1" customWidth="1"/>
    <col min="18" max="18" width="14.28125" style="0" bestFit="1" customWidth="1"/>
    <col min="19" max="19" width="13.421875" style="0" bestFit="1" customWidth="1"/>
  </cols>
  <sheetData>
    <row r="1" spans="1:16" ht="12.75">
      <c r="A1" s="95" t="s">
        <v>71</v>
      </c>
      <c r="B1" s="95" t="s">
        <v>72</v>
      </c>
      <c r="C1" s="95" t="s">
        <v>36</v>
      </c>
      <c r="D1" s="95" t="s">
        <v>37</v>
      </c>
      <c r="E1" s="95" t="s">
        <v>73</v>
      </c>
      <c r="F1" s="95" t="s">
        <v>74</v>
      </c>
      <c r="G1" s="95" t="s">
        <v>84</v>
      </c>
      <c r="H1" s="95" t="s">
        <v>75</v>
      </c>
      <c r="I1" s="95" t="s">
        <v>76</v>
      </c>
      <c r="J1" s="95" t="s">
        <v>77</v>
      </c>
      <c r="K1" s="95" t="s">
        <v>78</v>
      </c>
      <c r="L1" s="95" t="s">
        <v>79</v>
      </c>
      <c r="M1" s="95" t="s">
        <v>80</v>
      </c>
      <c r="N1" s="95" t="s">
        <v>81</v>
      </c>
      <c r="O1" s="95" t="s">
        <v>82</v>
      </c>
      <c r="P1" s="95" t="s">
        <v>83</v>
      </c>
    </row>
    <row r="2" spans="1:16" ht="12.75">
      <c r="A2" s="95">
        <v>310</v>
      </c>
      <c r="B2" s="95" t="s">
        <v>85</v>
      </c>
      <c r="C2" s="95">
        <v>0</v>
      </c>
      <c r="D2" s="95" t="s">
        <v>86</v>
      </c>
      <c r="E2" s="95">
        <v>0</v>
      </c>
      <c r="F2" s="95">
        <v>2261809.69</v>
      </c>
      <c r="G2" s="95">
        <v>0</v>
      </c>
      <c r="H2" s="95">
        <v>2261810</v>
      </c>
      <c r="I2" s="95">
        <v>0</v>
      </c>
      <c r="J2" s="95">
        <v>0</v>
      </c>
      <c r="K2" s="95">
        <v>0</v>
      </c>
      <c r="L2" s="95">
        <v>0</v>
      </c>
      <c r="M2" s="95">
        <v>41.5</v>
      </c>
      <c r="N2" s="95"/>
      <c r="O2" s="95"/>
      <c r="P2" s="95"/>
    </row>
    <row r="3" spans="1:16" ht="12.75">
      <c r="A3" s="95">
        <v>311</v>
      </c>
      <c r="B3" s="96">
        <v>44561</v>
      </c>
      <c r="C3" s="95">
        <v>80</v>
      </c>
      <c r="D3" s="95" t="s">
        <v>87</v>
      </c>
      <c r="E3" s="95">
        <v>-19</v>
      </c>
      <c r="F3" s="95">
        <v>9006038.08</v>
      </c>
      <c r="G3" s="95">
        <v>8546939</v>
      </c>
      <c r="H3" s="95">
        <v>2170246</v>
      </c>
      <c r="I3" s="95">
        <v>547357</v>
      </c>
      <c r="J3" s="95">
        <v>6.08</v>
      </c>
      <c r="K3" s="95">
        <v>3.96</v>
      </c>
      <c r="L3" s="95">
        <v>94.9</v>
      </c>
      <c r="M3" s="95">
        <v>30.6</v>
      </c>
      <c r="N3" s="95"/>
      <c r="O3" s="95"/>
      <c r="P3" s="95"/>
    </row>
    <row r="4" spans="1:16" ht="12.75">
      <c r="A4" s="95">
        <v>312</v>
      </c>
      <c r="B4" s="96">
        <v>44561</v>
      </c>
      <c r="C4" s="95">
        <v>75</v>
      </c>
      <c r="D4" s="95" t="s">
        <v>88</v>
      </c>
      <c r="E4" s="95">
        <v>-19</v>
      </c>
      <c r="F4" s="95">
        <v>26445979.81</v>
      </c>
      <c r="G4" s="95">
        <v>26377078</v>
      </c>
      <c r="H4" s="95">
        <v>5093638</v>
      </c>
      <c r="I4" s="95">
        <v>1285317</v>
      </c>
      <c r="J4" s="95">
        <v>4.86</v>
      </c>
      <c r="K4" s="95">
        <v>3.96</v>
      </c>
      <c r="L4" s="95">
        <v>99.7</v>
      </c>
      <c r="M4" s="95">
        <v>32.1</v>
      </c>
      <c r="N4" s="95"/>
      <c r="O4" s="95"/>
      <c r="P4" s="95"/>
    </row>
    <row r="5" spans="1:16" ht="12.75">
      <c r="A5" s="95" t="s">
        <v>386</v>
      </c>
      <c r="B5" s="96">
        <v>43830</v>
      </c>
      <c r="C5" s="95">
        <v>100</v>
      </c>
      <c r="D5" s="95" t="s">
        <v>87</v>
      </c>
      <c r="E5" s="95">
        <v>-19</v>
      </c>
      <c r="F5" s="95">
        <v>1954690.95</v>
      </c>
      <c r="G5" s="95">
        <v>2100717</v>
      </c>
      <c r="H5" s="95">
        <v>225365</v>
      </c>
      <c r="I5" s="95">
        <v>113005</v>
      </c>
      <c r="J5" s="95">
        <v>5.78</v>
      </c>
      <c r="K5" s="95">
        <v>1.99</v>
      </c>
      <c r="L5" s="95">
        <v>107.5</v>
      </c>
      <c r="M5" s="95">
        <v>31.8</v>
      </c>
      <c r="N5" s="95"/>
      <c r="O5" s="95"/>
      <c r="P5" s="95"/>
    </row>
    <row r="6" spans="1:16" ht="12.75">
      <c r="A6" s="95" t="s">
        <v>387</v>
      </c>
      <c r="B6" s="96">
        <v>44196</v>
      </c>
      <c r="C6" s="95">
        <v>100</v>
      </c>
      <c r="D6" s="95" t="s">
        <v>87</v>
      </c>
      <c r="E6" s="95">
        <v>-19</v>
      </c>
      <c r="F6" s="95">
        <v>3909381.9</v>
      </c>
      <c r="G6" s="95">
        <v>4026569</v>
      </c>
      <c r="H6" s="95">
        <v>625595</v>
      </c>
      <c r="I6" s="95">
        <v>209582</v>
      </c>
      <c r="J6" s="95">
        <v>5.36</v>
      </c>
      <c r="K6" s="95">
        <v>2.98</v>
      </c>
      <c r="L6" s="95">
        <v>103</v>
      </c>
      <c r="M6" s="95">
        <v>31.8</v>
      </c>
      <c r="N6" s="95"/>
      <c r="O6" s="95"/>
      <c r="P6" s="95"/>
    </row>
    <row r="7" spans="1:16" ht="12.75">
      <c r="A7" s="95" t="s">
        <v>388</v>
      </c>
      <c r="B7" s="96">
        <v>44561</v>
      </c>
      <c r="C7" s="95">
        <v>100</v>
      </c>
      <c r="D7" s="95" t="s">
        <v>87</v>
      </c>
      <c r="E7" s="95">
        <v>-19</v>
      </c>
      <c r="F7" s="95">
        <v>15637527.64</v>
      </c>
      <c r="G7" s="95">
        <v>15442475</v>
      </c>
      <c r="H7" s="95">
        <v>3166183</v>
      </c>
      <c r="I7" s="95">
        <v>796856</v>
      </c>
      <c r="J7" s="95">
        <v>5.1</v>
      </c>
      <c r="K7" s="95">
        <v>3.97</v>
      </c>
      <c r="L7" s="95">
        <v>98.8</v>
      </c>
      <c r="M7" s="95">
        <v>29.7</v>
      </c>
      <c r="N7" s="95"/>
      <c r="O7" s="95"/>
      <c r="P7" s="95"/>
    </row>
    <row r="8" spans="1:16" ht="12.75">
      <c r="A8" s="95">
        <v>315</v>
      </c>
      <c r="B8" s="120">
        <v>44561</v>
      </c>
      <c r="C8" s="95">
        <v>80</v>
      </c>
      <c r="D8" s="95" t="s">
        <v>88</v>
      </c>
      <c r="E8" s="95">
        <v>-19</v>
      </c>
      <c r="F8" s="95">
        <v>2283113.25</v>
      </c>
      <c r="G8" s="95">
        <v>2444835</v>
      </c>
      <c r="H8" s="95">
        <v>272070</v>
      </c>
      <c r="I8" s="95">
        <v>68942</v>
      </c>
      <c r="J8" s="95">
        <v>3.02</v>
      </c>
      <c r="K8" s="95">
        <v>3.95</v>
      </c>
      <c r="L8" s="95">
        <v>107.1</v>
      </c>
      <c r="M8" s="95">
        <v>48.5</v>
      </c>
      <c r="N8" s="95"/>
      <c r="O8" s="95"/>
      <c r="P8" s="95"/>
    </row>
    <row r="9" spans="1:16" ht="12.75">
      <c r="A9" s="95">
        <v>316</v>
      </c>
      <c r="B9" s="96">
        <v>44561</v>
      </c>
      <c r="C9" s="95">
        <v>70</v>
      </c>
      <c r="D9" s="95" t="s">
        <v>89</v>
      </c>
      <c r="E9" s="95">
        <v>-19</v>
      </c>
      <c r="F9" s="95">
        <v>1512886.51</v>
      </c>
      <c r="G9" s="95">
        <v>1531750</v>
      </c>
      <c r="H9" s="95">
        <v>268585</v>
      </c>
      <c r="I9" s="95">
        <v>68526</v>
      </c>
      <c r="J9" s="95">
        <v>4.53</v>
      </c>
      <c r="K9" s="95">
        <v>3.92</v>
      </c>
      <c r="L9" s="95">
        <v>101.2</v>
      </c>
      <c r="M9" s="95">
        <v>33.7</v>
      </c>
      <c r="N9" s="95"/>
      <c r="O9" s="95"/>
      <c r="P9" s="95"/>
    </row>
    <row r="10" spans="1:16" ht="12.75">
      <c r="A10" s="95">
        <v>340</v>
      </c>
      <c r="B10" s="96" t="s">
        <v>85</v>
      </c>
      <c r="C10" s="95">
        <v>0</v>
      </c>
      <c r="D10" s="95" t="s">
        <v>86</v>
      </c>
      <c r="E10" s="95">
        <v>0</v>
      </c>
      <c r="F10" s="95">
        <v>43567.22</v>
      </c>
      <c r="G10" s="95">
        <v>0</v>
      </c>
      <c r="H10" s="95">
        <v>43567</v>
      </c>
      <c r="I10" s="95">
        <v>0</v>
      </c>
      <c r="J10" s="95">
        <v>0</v>
      </c>
      <c r="K10" s="95">
        <v>0</v>
      </c>
      <c r="L10" s="95">
        <v>0</v>
      </c>
      <c r="M10" s="95">
        <v>48.4</v>
      </c>
      <c r="N10" s="95"/>
      <c r="O10" s="95"/>
      <c r="P10" s="95"/>
    </row>
    <row r="11" spans="1:16" ht="12.75">
      <c r="A11" s="95">
        <v>341</v>
      </c>
      <c r="B11" s="96">
        <v>48029</v>
      </c>
      <c r="C11" s="95">
        <v>70</v>
      </c>
      <c r="D11" s="95" t="s">
        <v>87</v>
      </c>
      <c r="E11" s="95">
        <v>-3</v>
      </c>
      <c r="F11" s="95">
        <v>481305.81</v>
      </c>
      <c r="G11" s="95">
        <v>316843</v>
      </c>
      <c r="H11" s="95">
        <v>178902</v>
      </c>
      <c r="I11" s="95">
        <v>14050</v>
      </c>
      <c r="J11" s="95">
        <v>2.92</v>
      </c>
      <c r="K11" s="95">
        <v>12.73</v>
      </c>
      <c r="L11" s="95">
        <v>65.8</v>
      </c>
      <c r="M11" s="95">
        <v>31.3</v>
      </c>
      <c r="N11" s="95"/>
      <c r="O11" s="95"/>
      <c r="P11" s="95"/>
    </row>
    <row r="12" spans="1:16" ht="12.75">
      <c r="A12" s="95" t="s">
        <v>90</v>
      </c>
      <c r="B12" s="96">
        <v>48029</v>
      </c>
      <c r="C12" s="95">
        <v>65</v>
      </c>
      <c r="D12" s="95" t="s">
        <v>289</v>
      </c>
      <c r="E12" s="95">
        <v>-3</v>
      </c>
      <c r="F12" s="95">
        <v>12865544.8</v>
      </c>
      <c r="G12" s="95">
        <v>6266803</v>
      </c>
      <c r="H12" s="95">
        <v>6984708</v>
      </c>
      <c r="I12" s="95">
        <v>535707</v>
      </c>
      <c r="J12" s="95">
        <v>4.16</v>
      </c>
      <c r="K12" s="95">
        <v>13.04</v>
      </c>
      <c r="L12" s="95">
        <v>48.7</v>
      </c>
      <c r="M12" s="95">
        <v>18.6</v>
      </c>
      <c r="N12" s="95"/>
      <c r="O12" s="95"/>
      <c r="P12" s="95"/>
    </row>
    <row r="13" spans="1:16" ht="12.75">
      <c r="A13" s="95" t="s">
        <v>91</v>
      </c>
      <c r="B13" s="120">
        <v>57161</v>
      </c>
      <c r="C13" s="95">
        <v>65</v>
      </c>
      <c r="D13" s="95" t="s">
        <v>289</v>
      </c>
      <c r="E13" s="95">
        <v>-3</v>
      </c>
      <c r="F13" s="95">
        <v>35297120.5</v>
      </c>
      <c r="G13" s="95">
        <v>8505193</v>
      </c>
      <c r="H13" s="95">
        <v>27850841</v>
      </c>
      <c r="I13" s="95">
        <v>824633</v>
      </c>
      <c r="J13" s="95">
        <v>2.34</v>
      </c>
      <c r="K13" s="95">
        <v>33.77</v>
      </c>
      <c r="L13" s="95">
        <v>24.1</v>
      </c>
      <c r="M13" s="95">
        <v>11.1</v>
      </c>
      <c r="N13" s="95"/>
      <c r="O13" s="95"/>
      <c r="P13" s="95"/>
    </row>
    <row r="14" spans="1:16" ht="12.75">
      <c r="A14" s="95">
        <v>346</v>
      </c>
      <c r="B14" s="120">
        <v>48029</v>
      </c>
      <c r="C14" s="95">
        <v>30</v>
      </c>
      <c r="D14" s="95" t="s">
        <v>291</v>
      </c>
      <c r="E14" s="95">
        <v>-3</v>
      </c>
      <c r="F14" s="95">
        <v>320115.73</v>
      </c>
      <c r="G14" s="95">
        <v>187125</v>
      </c>
      <c r="H14" s="95">
        <v>142594</v>
      </c>
      <c r="I14" s="95">
        <v>13054</v>
      </c>
      <c r="J14" s="95">
        <v>4.08</v>
      </c>
      <c r="K14" s="95">
        <v>10.92</v>
      </c>
      <c r="L14" s="95">
        <v>58.5</v>
      </c>
      <c r="M14" s="95">
        <v>15.5</v>
      </c>
      <c r="N14" s="95"/>
      <c r="O14" s="95"/>
      <c r="P14" s="95"/>
    </row>
    <row r="15" spans="1:16" ht="12.75">
      <c r="A15" s="95">
        <v>350</v>
      </c>
      <c r="B15" s="95" t="s">
        <v>85</v>
      </c>
      <c r="C15" s="95">
        <v>0</v>
      </c>
      <c r="D15" s="95" t="s">
        <v>86</v>
      </c>
      <c r="E15" s="95">
        <v>0</v>
      </c>
      <c r="F15" s="95">
        <v>1101484.46</v>
      </c>
      <c r="G15" s="95">
        <v>0</v>
      </c>
      <c r="H15" s="95">
        <v>1101484</v>
      </c>
      <c r="I15" s="95">
        <v>0</v>
      </c>
      <c r="J15" s="95">
        <v>0</v>
      </c>
      <c r="K15" s="95">
        <v>0</v>
      </c>
      <c r="L15" s="95">
        <v>0</v>
      </c>
      <c r="M15" s="95">
        <v>22.1</v>
      </c>
      <c r="N15" s="95"/>
      <c r="O15" s="95"/>
      <c r="P15" s="95"/>
    </row>
    <row r="16" spans="1:16" ht="12.75">
      <c r="A16" s="95">
        <v>350.2</v>
      </c>
      <c r="B16" s="95" t="s">
        <v>85</v>
      </c>
      <c r="C16" s="95">
        <v>70</v>
      </c>
      <c r="D16" s="95" t="s">
        <v>170</v>
      </c>
      <c r="E16" s="95">
        <v>0</v>
      </c>
      <c r="F16" s="95">
        <v>4462984.86</v>
      </c>
      <c r="G16" s="95">
        <v>1066585</v>
      </c>
      <c r="H16" s="95">
        <v>3396400</v>
      </c>
      <c r="I16" s="95">
        <v>63821</v>
      </c>
      <c r="J16" s="95">
        <v>1.43</v>
      </c>
      <c r="K16" s="95">
        <v>53.22</v>
      </c>
      <c r="L16" s="95">
        <v>23.9</v>
      </c>
      <c r="M16" s="95">
        <v>16.8</v>
      </c>
      <c r="N16" s="95"/>
      <c r="O16" s="95"/>
      <c r="P16" s="95"/>
    </row>
    <row r="17" spans="1:16" ht="12.75">
      <c r="A17" s="95">
        <v>353</v>
      </c>
      <c r="B17" s="95" t="s">
        <v>85</v>
      </c>
      <c r="C17" s="95">
        <v>57</v>
      </c>
      <c r="D17" s="95" t="s">
        <v>93</v>
      </c>
      <c r="E17" s="95">
        <v>-5</v>
      </c>
      <c r="F17" s="95">
        <v>50295932.85</v>
      </c>
      <c r="G17" s="95">
        <v>13293620</v>
      </c>
      <c r="H17" s="95">
        <v>39517109</v>
      </c>
      <c r="I17" s="95">
        <v>924188</v>
      </c>
      <c r="J17" s="95">
        <v>1.84</v>
      </c>
      <c r="K17" s="95">
        <v>42.76</v>
      </c>
      <c r="L17" s="95">
        <v>26.4</v>
      </c>
      <c r="M17" s="95">
        <v>15.6</v>
      </c>
      <c r="N17" s="95"/>
      <c r="O17" s="95"/>
      <c r="P17" s="95"/>
    </row>
    <row r="18" spans="1:16" ht="12.75">
      <c r="A18" s="95">
        <v>354</v>
      </c>
      <c r="B18" s="95" t="s">
        <v>85</v>
      </c>
      <c r="C18" s="95">
        <v>60</v>
      </c>
      <c r="D18" s="95" t="s">
        <v>94</v>
      </c>
      <c r="E18" s="95">
        <v>-20</v>
      </c>
      <c r="F18" s="95">
        <v>878834.26</v>
      </c>
      <c r="G18" s="95">
        <v>642774</v>
      </c>
      <c r="H18" s="95">
        <v>411827</v>
      </c>
      <c r="I18" s="95">
        <v>17612</v>
      </c>
      <c r="J18" s="95">
        <v>2</v>
      </c>
      <c r="K18" s="95">
        <v>23.38</v>
      </c>
      <c r="L18" s="95">
        <v>73.1</v>
      </c>
      <c r="M18" s="95">
        <v>38.4</v>
      </c>
      <c r="N18" s="95"/>
      <c r="O18" s="95"/>
      <c r="P18" s="95"/>
    </row>
    <row r="19" spans="1:16" ht="12.75">
      <c r="A19" s="95">
        <v>355</v>
      </c>
      <c r="B19" s="95" t="s">
        <v>85</v>
      </c>
      <c r="C19" s="95">
        <v>52</v>
      </c>
      <c r="D19" s="95" t="s">
        <v>95</v>
      </c>
      <c r="E19" s="95">
        <v>-70</v>
      </c>
      <c r="F19" s="95">
        <v>22861633.71</v>
      </c>
      <c r="G19" s="95">
        <v>8531641</v>
      </c>
      <c r="H19" s="95">
        <v>30333136</v>
      </c>
      <c r="I19" s="95">
        <v>746204</v>
      </c>
      <c r="J19" s="95">
        <v>3.26</v>
      </c>
      <c r="K19" s="95">
        <v>40.65</v>
      </c>
      <c r="L19" s="95">
        <v>37.3</v>
      </c>
      <c r="M19" s="95">
        <v>13</v>
      </c>
      <c r="N19" s="95"/>
      <c r="O19" s="95"/>
      <c r="P19" s="95"/>
    </row>
    <row r="20" spans="1:16" ht="12.75">
      <c r="A20" s="95">
        <v>356</v>
      </c>
      <c r="B20" s="95" t="s">
        <v>85</v>
      </c>
      <c r="C20" s="95">
        <v>60</v>
      </c>
      <c r="D20" s="95" t="s">
        <v>93</v>
      </c>
      <c r="E20" s="95">
        <v>-70</v>
      </c>
      <c r="F20" s="95">
        <v>45621954.93</v>
      </c>
      <c r="G20" s="95">
        <v>13823101</v>
      </c>
      <c r="H20" s="95">
        <v>63734222</v>
      </c>
      <c r="I20" s="95">
        <v>1295207</v>
      </c>
      <c r="J20" s="95">
        <v>2.84</v>
      </c>
      <c r="K20" s="95">
        <v>49.21</v>
      </c>
      <c r="L20" s="95">
        <v>30.3</v>
      </c>
      <c r="M20" s="95">
        <v>11.4</v>
      </c>
      <c r="N20" s="95"/>
      <c r="O20" s="95"/>
      <c r="P20" s="95"/>
    </row>
    <row r="21" spans="1:16" ht="12.75">
      <c r="A21" s="95">
        <v>359</v>
      </c>
      <c r="B21" s="95" t="s">
        <v>85</v>
      </c>
      <c r="C21" s="95">
        <v>50</v>
      </c>
      <c r="D21" s="95" t="s">
        <v>96</v>
      </c>
      <c r="E21" s="95">
        <v>0</v>
      </c>
      <c r="F21" s="95">
        <v>73263</v>
      </c>
      <c r="G21" s="95">
        <v>12411</v>
      </c>
      <c r="H21" s="95">
        <v>60852</v>
      </c>
      <c r="I21" s="95">
        <v>1465</v>
      </c>
      <c r="J21" s="95">
        <v>2</v>
      </c>
      <c r="K21" s="95">
        <v>41.53</v>
      </c>
      <c r="L21" s="95">
        <v>16.9</v>
      </c>
      <c r="M21" s="95">
        <v>8.5</v>
      </c>
      <c r="N21" s="95"/>
      <c r="O21" s="95"/>
      <c r="P21" s="95"/>
    </row>
    <row r="22" spans="1:16" ht="12.75">
      <c r="A22" s="95">
        <v>360</v>
      </c>
      <c r="B22" s="95" t="s">
        <v>85</v>
      </c>
      <c r="C22" s="95">
        <v>0</v>
      </c>
      <c r="D22" s="95" t="s">
        <v>86</v>
      </c>
      <c r="E22" s="95">
        <v>0</v>
      </c>
      <c r="F22" s="95">
        <v>9972.95</v>
      </c>
      <c r="G22" s="95">
        <v>0</v>
      </c>
      <c r="H22" s="95">
        <v>9973</v>
      </c>
      <c r="I22" s="95">
        <v>0</v>
      </c>
      <c r="J22" s="95">
        <v>0</v>
      </c>
      <c r="K22" s="95">
        <v>0</v>
      </c>
      <c r="L22" s="95">
        <v>0</v>
      </c>
      <c r="M22" s="95">
        <v>44</v>
      </c>
      <c r="N22" s="95"/>
      <c r="O22" s="95"/>
      <c r="P22" s="95"/>
    </row>
    <row r="23" spans="1:16" ht="12.75">
      <c r="A23" s="95">
        <v>360.2</v>
      </c>
      <c r="B23" s="95" t="s">
        <v>85</v>
      </c>
      <c r="C23" s="95">
        <v>70</v>
      </c>
      <c r="D23" s="95" t="s">
        <v>170</v>
      </c>
      <c r="E23" s="95">
        <v>0</v>
      </c>
      <c r="F23" s="95">
        <v>282000</v>
      </c>
      <c r="G23" s="95">
        <v>56490</v>
      </c>
      <c r="H23" s="95">
        <v>225510</v>
      </c>
      <c r="I23" s="95">
        <v>4033</v>
      </c>
      <c r="J23" s="95">
        <v>1.43</v>
      </c>
      <c r="K23" s="95">
        <v>55.92</v>
      </c>
      <c r="L23" s="95">
        <v>20</v>
      </c>
      <c r="M23" s="95">
        <v>14.2</v>
      </c>
      <c r="N23" s="95"/>
      <c r="O23" s="95"/>
      <c r="P23" s="95"/>
    </row>
    <row r="24" spans="1:16" ht="12.75">
      <c r="A24" s="95">
        <v>362</v>
      </c>
      <c r="B24" s="95" t="s">
        <v>85</v>
      </c>
      <c r="C24" s="95">
        <v>47</v>
      </c>
      <c r="D24" s="95" t="s">
        <v>93</v>
      </c>
      <c r="E24" s="95">
        <v>-5</v>
      </c>
      <c r="F24" s="95">
        <v>3289858.8</v>
      </c>
      <c r="G24" s="95">
        <v>1021848</v>
      </c>
      <c r="H24" s="95">
        <v>2432504</v>
      </c>
      <c r="I24" s="95">
        <v>73578</v>
      </c>
      <c r="J24" s="95">
        <v>2.24</v>
      </c>
      <c r="K24" s="95">
        <v>33.06</v>
      </c>
      <c r="L24" s="95">
        <v>31.1</v>
      </c>
      <c r="M24" s="95">
        <v>15.4</v>
      </c>
      <c r="N24" s="95"/>
      <c r="O24" s="95"/>
      <c r="P24" s="95"/>
    </row>
    <row r="25" spans="1:16" ht="12.75">
      <c r="A25" s="95">
        <v>364</v>
      </c>
      <c r="B25" s="95" t="s">
        <v>85</v>
      </c>
      <c r="C25" s="95">
        <v>47</v>
      </c>
      <c r="D25" s="95" t="s">
        <v>290</v>
      </c>
      <c r="E25" s="95">
        <v>-60</v>
      </c>
      <c r="F25" s="95">
        <v>75601860.44</v>
      </c>
      <c r="G25" s="95">
        <v>29150175</v>
      </c>
      <c r="H25" s="95">
        <v>91812802</v>
      </c>
      <c r="I25" s="95">
        <v>2576511</v>
      </c>
      <c r="J25" s="95">
        <v>3.41</v>
      </c>
      <c r="K25" s="95">
        <v>35.63</v>
      </c>
      <c r="L25" s="95">
        <v>38.6</v>
      </c>
      <c r="M25" s="95">
        <v>14.7</v>
      </c>
      <c r="N25" s="95"/>
      <c r="O25" s="95"/>
      <c r="P25" s="95"/>
    </row>
    <row r="26" spans="1:16" ht="12.75">
      <c r="A26" s="95">
        <v>365</v>
      </c>
      <c r="B26" s="95" t="s">
        <v>85</v>
      </c>
      <c r="C26" s="95">
        <v>52</v>
      </c>
      <c r="D26" s="95" t="s">
        <v>95</v>
      </c>
      <c r="E26" s="95">
        <v>-60</v>
      </c>
      <c r="F26" s="95">
        <v>93875165.89</v>
      </c>
      <c r="G26" s="95">
        <v>31574543</v>
      </c>
      <c r="H26" s="95">
        <v>118625722</v>
      </c>
      <c r="I26" s="95">
        <v>2883845</v>
      </c>
      <c r="J26" s="95">
        <v>3.07</v>
      </c>
      <c r="K26" s="95">
        <v>41.13</v>
      </c>
      <c r="L26" s="95">
        <v>33.6</v>
      </c>
      <c r="M26" s="95">
        <v>12.2</v>
      </c>
      <c r="N26" s="95"/>
      <c r="O26" s="95"/>
      <c r="P26" s="95"/>
    </row>
    <row r="27" spans="1:16" ht="12.75">
      <c r="A27" s="95">
        <v>367</v>
      </c>
      <c r="B27" s="95" t="s">
        <v>85</v>
      </c>
      <c r="C27" s="95">
        <v>50</v>
      </c>
      <c r="D27" s="95" t="s">
        <v>93</v>
      </c>
      <c r="E27" s="95">
        <v>-10</v>
      </c>
      <c r="F27" s="95">
        <v>3097193.94</v>
      </c>
      <c r="G27" s="95">
        <v>1238516</v>
      </c>
      <c r="H27" s="95">
        <v>2168397</v>
      </c>
      <c r="I27" s="95">
        <v>68138</v>
      </c>
      <c r="J27" s="95">
        <v>2.2</v>
      </c>
      <c r="K27" s="95">
        <v>31.82</v>
      </c>
      <c r="L27" s="95">
        <v>40</v>
      </c>
      <c r="M27" s="95">
        <v>20.1</v>
      </c>
      <c r="N27" s="95"/>
      <c r="O27" s="95"/>
      <c r="P27" s="95"/>
    </row>
    <row r="28" spans="1:16" ht="12.75">
      <c r="A28" s="95">
        <v>368.1</v>
      </c>
      <c r="B28" s="95" t="s">
        <v>85</v>
      </c>
      <c r="C28" s="95">
        <v>34</v>
      </c>
      <c r="D28" s="95" t="s">
        <v>95</v>
      </c>
      <c r="E28" s="95">
        <v>-20</v>
      </c>
      <c r="F28" s="95">
        <v>69024149.65</v>
      </c>
      <c r="G28" s="95">
        <v>26297861</v>
      </c>
      <c r="H28" s="95">
        <v>56531119</v>
      </c>
      <c r="I28" s="95">
        <v>2435172</v>
      </c>
      <c r="J28" s="95">
        <v>3.53</v>
      </c>
      <c r="K28" s="95">
        <v>23.21</v>
      </c>
      <c r="L28" s="95">
        <v>38.1</v>
      </c>
      <c r="M28" s="95">
        <v>12.6</v>
      </c>
      <c r="N28" s="95"/>
      <c r="O28" s="95"/>
      <c r="P28" s="95"/>
    </row>
    <row r="29" spans="1:16" ht="12.75">
      <c r="A29" s="95">
        <v>368.2</v>
      </c>
      <c r="B29" s="95" t="s">
        <v>85</v>
      </c>
      <c r="C29" s="95">
        <v>34</v>
      </c>
      <c r="D29" s="95" t="s">
        <v>95</v>
      </c>
      <c r="E29" s="95">
        <v>-20</v>
      </c>
      <c r="F29" s="95">
        <v>12591273.83</v>
      </c>
      <c r="G29" s="95">
        <v>3802327</v>
      </c>
      <c r="H29" s="95">
        <v>11307202</v>
      </c>
      <c r="I29" s="95">
        <v>444220</v>
      </c>
      <c r="J29" s="95">
        <v>3.53</v>
      </c>
      <c r="K29" s="95">
        <v>25.45</v>
      </c>
      <c r="L29" s="95">
        <v>30.2</v>
      </c>
      <c r="M29" s="95">
        <v>9.8</v>
      </c>
      <c r="N29" s="95"/>
      <c r="O29" s="95"/>
      <c r="P29" s="95"/>
    </row>
    <row r="30" spans="1:16" ht="12.75">
      <c r="A30" s="95">
        <v>369.01</v>
      </c>
      <c r="B30" s="95" t="s">
        <v>85</v>
      </c>
      <c r="C30" s="95">
        <v>46</v>
      </c>
      <c r="D30" s="95" t="s">
        <v>93</v>
      </c>
      <c r="E30" s="95">
        <v>-60</v>
      </c>
      <c r="F30" s="95">
        <v>67238249.06</v>
      </c>
      <c r="G30" s="95">
        <v>33734931</v>
      </c>
      <c r="H30" s="95">
        <v>73846267</v>
      </c>
      <c r="I30" s="95">
        <v>2334512</v>
      </c>
      <c r="J30" s="95">
        <v>3.47</v>
      </c>
      <c r="K30" s="95">
        <v>31.63</v>
      </c>
      <c r="L30" s="95">
        <v>50.2</v>
      </c>
      <c r="M30" s="95">
        <v>15.8</v>
      </c>
      <c r="N30" s="95"/>
      <c r="O30" s="95"/>
      <c r="P30" s="95"/>
    </row>
    <row r="31" spans="1:16" ht="12.75">
      <c r="A31" s="95">
        <v>369.02</v>
      </c>
      <c r="B31" s="95" t="s">
        <v>85</v>
      </c>
      <c r="C31" s="95">
        <v>45</v>
      </c>
      <c r="D31" s="95" t="s">
        <v>93</v>
      </c>
      <c r="E31" s="95">
        <v>-10</v>
      </c>
      <c r="F31" s="95">
        <v>2076694.98</v>
      </c>
      <c r="G31" s="95">
        <v>1021271</v>
      </c>
      <c r="H31" s="95">
        <v>1263093</v>
      </c>
      <c r="I31" s="95">
        <v>50713</v>
      </c>
      <c r="J31" s="95">
        <v>2.44</v>
      </c>
      <c r="K31" s="95">
        <v>24.91</v>
      </c>
      <c r="L31" s="95">
        <v>49.2</v>
      </c>
      <c r="M31" s="95">
        <v>22.3</v>
      </c>
      <c r="N31" s="95"/>
      <c r="O31" s="95"/>
      <c r="P31" s="95"/>
    </row>
    <row r="32" spans="1:16" ht="12.75">
      <c r="A32" s="95">
        <v>370.1</v>
      </c>
      <c r="B32" s="95" t="s">
        <v>85</v>
      </c>
      <c r="C32" s="95">
        <v>21</v>
      </c>
      <c r="D32" s="95" t="s">
        <v>96</v>
      </c>
      <c r="E32" s="95">
        <v>-2</v>
      </c>
      <c r="F32" s="95">
        <v>14245974.39</v>
      </c>
      <c r="G32" s="95">
        <v>6207289</v>
      </c>
      <c r="H32" s="95">
        <v>8323605</v>
      </c>
      <c r="I32" s="95">
        <v>691671</v>
      </c>
      <c r="J32" s="95">
        <v>4.86</v>
      </c>
      <c r="K32" s="95">
        <v>12.03</v>
      </c>
      <c r="L32" s="95">
        <v>43.6</v>
      </c>
      <c r="M32" s="95">
        <v>10.9</v>
      </c>
      <c r="N32" s="95"/>
      <c r="O32" s="95"/>
      <c r="P32" s="95"/>
    </row>
    <row r="33" spans="1:16" ht="12.75">
      <c r="A33" s="95">
        <v>370.2</v>
      </c>
      <c r="B33" s="95" t="s">
        <v>85</v>
      </c>
      <c r="C33" s="95">
        <v>30</v>
      </c>
      <c r="D33" s="95" t="s">
        <v>291</v>
      </c>
      <c r="E33" s="95">
        <v>0</v>
      </c>
      <c r="F33" s="95">
        <v>651341.47</v>
      </c>
      <c r="G33" s="95">
        <v>72818</v>
      </c>
      <c r="H33" s="95">
        <v>578523</v>
      </c>
      <c r="I33" s="95">
        <v>21690</v>
      </c>
      <c r="J33" s="95">
        <v>3.33</v>
      </c>
      <c r="K33" s="95">
        <v>26.67</v>
      </c>
      <c r="L33" s="95">
        <v>11.2</v>
      </c>
      <c r="M33" s="95">
        <v>3.4</v>
      </c>
      <c r="N33" s="95"/>
      <c r="O33" s="95"/>
      <c r="P33" s="95"/>
    </row>
    <row r="34" spans="1:16" ht="12.75">
      <c r="A34" s="95">
        <v>373</v>
      </c>
      <c r="B34" s="95" t="s">
        <v>85</v>
      </c>
      <c r="C34" s="95">
        <v>27</v>
      </c>
      <c r="D34" s="95" t="s">
        <v>88</v>
      </c>
      <c r="E34" s="95">
        <v>-25</v>
      </c>
      <c r="F34" s="95">
        <v>6053458.58</v>
      </c>
      <c r="G34" s="95">
        <v>2324282</v>
      </c>
      <c r="H34" s="95">
        <v>5242541</v>
      </c>
      <c r="I34" s="95">
        <v>279972</v>
      </c>
      <c r="J34" s="95">
        <v>4.62</v>
      </c>
      <c r="K34" s="95">
        <v>18.73</v>
      </c>
      <c r="L34" s="95">
        <v>38.4</v>
      </c>
      <c r="M34" s="95">
        <v>10.5</v>
      </c>
      <c r="N34" s="95"/>
      <c r="O34" s="95"/>
      <c r="P34" s="95"/>
    </row>
    <row r="35" spans="1:16" ht="12.75">
      <c r="A35" s="95">
        <v>373.2</v>
      </c>
      <c r="B35" s="95" t="s">
        <v>85</v>
      </c>
      <c r="C35" s="95">
        <v>27</v>
      </c>
      <c r="D35" s="95" t="s">
        <v>88</v>
      </c>
      <c r="E35" s="95">
        <v>-10</v>
      </c>
      <c r="F35" s="95">
        <v>653788.61</v>
      </c>
      <c r="G35" s="95">
        <v>551668</v>
      </c>
      <c r="H35" s="95">
        <v>167499</v>
      </c>
      <c r="I35" s="95">
        <v>26609</v>
      </c>
      <c r="J35" s="95">
        <v>4.07</v>
      </c>
      <c r="K35" s="95">
        <v>6.29</v>
      </c>
      <c r="L35" s="95">
        <v>84.4</v>
      </c>
      <c r="M35" s="95">
        <v>30</v>
      </c>
      <c r="N35" s="95"/>
      <c r="O35" s="95"/>
      <c r="P35" s="95"/>
    </row>
    <row r="36" spans="1:16" ht="12.75">
      <c r="A36" s="95">
        <v>389</v>
      </c>
      <c r="B36" s="95" t="s">
        <v>85</v>
      </c>
      <c r="C36" s="95">
        <v>0</v>
      </c>
      <c r="D36" s="95" t="s">
        <v>86</v>
      </c>
      <c r="E36" s="95">
        <v>0</v>
      </c>
      <c r="F36" s="95">
        <v>350201</v>
      </c>
      <c r="G36" s="95">
        <v>0</v>
      </c>
      <c r="H36" s="95">
        <v>350201</v>
      </c>
      <c r="I36" s="95">
        <v>0</v>
      </c>
      <c r="J36" s="95">
        <v>0</v>
      </c>
      <c r="K36" s="95">
        <v>0</v>
      </c>
      <c r="L36" s="95">
        <v>0</v>
      </c>
      <c r="M36" s="95">
        <v>28.2</v>
      </c>
      <c r="N36" s="95"/>
      <c r="O36" s="95"/>
      <c r="P36" s="95"/>
    </row>
    <row r="37" spans="1:16" ht="12.75">
      <c r="A37" s="95">
        <v>390</v>
      </c>
      <c r="B37" s="95" t="s">
        <v>85</v>
      </c>
      <c r="C37" s="95">
        <v>40</v>
      </c>
      <c r="D37" s="95" t="s">
        <v>97</v>
      </c>
      <c r="E37" s="95">
        <v>0</v>
      </c>
      <c r="F37" s="95">
        <v>903406.39</v>
      </c>
      <c r="G37" s="95">
        <v>436181</v>
      </c>
      <c r="H37" s="95">
        <v>467225</v>
      </c>
      <c r="I37" s="95">
        <v>22585</v>
      </c>
      <c r="J37" s="95">
        <v>2.5</v>
      </c>
      <c r="K37" s="95">
        <v>20.69</v>
      </c>
      <c r="L37" s="95">
        <v>48.3</v>
      </c>
      <c r="M37" s="95">
        <v>30</v>
      </c>
      <c r="N37" s="95"/>
      <c r="O37" s="95"/>
      <c r="P37" s="95"/>
    </row>
    <row r="38" spans="1:16" ht="12.75">
      <c r="A38" s="95">
        <v>390.11</v>
      </c>
      <c r="B38" s="95" t="s">
        <v>85</v>
      </c>
      <c r="C38" s="95">
        <v>40</v>
      </c>
      <c r="D38" s="95" t="s">
        <v>97</v>
      </c>
      <c r="E38" s="95">
        <v>0</v>
      </c>
      <c r="F38" s="95">
        <v>4981389.66</v>
      </c>
      <c r="G38" s="95">
        <v>1899606</v>
      </c>
      <c r="H38" s="95">
        <v>3081784</v>
      </c>
      <c r="I38" s="95">
        <v>124535</v>
      </c>
      <c r="J38" s="95">
        <v>2.5</v>
      </c>
      <c r="K38" s="95">
        <v>24.75</v>
      </c>
      <c r="L38" s="95">
        <v>38.1</v>
      </c>
      <c r="M38" s="95">
        <v>22.4</v>
      </c>
      <c r="N38" s="95"/>
      <c r="O38" s="95"/>
      <c r="P38" s="95"/>
    </row>
    <row r="39" spans="1:16" ht="12.75">
      <c r="A39" s="95">
        <v>390.12</v>
      </c>
      <c r="B39" s="95" t="s">
        <v>85</v>
      </c>
      <c r="C39" s="95">
        <v>40</v>
      </c>
      <c r="D39" s="95" t="s">
        <v>97</v>
      </c>
      <c r="E39" s="95">
        <v>0</v>
      </c>
      <c r="F39" s="95">
        <v>6358301.06</v>
      </c>
      <c r="G39" s="95">
        <v>2271342</v>
      </c>
      <c r="H39" s="95">
        <v>4086959</v>
      </c>
      <c r="I39" s="95">
        <v>158958</v>
      </c>
      <c r="J39" s="95">
        <v>2.5</v>
      </c>
      <c r="K39" s="95">
        <v>25.71</v>
      </c>
      <c r="L39" s="95">
        <v>35.7</v>
      </c>
      <c r="M39" s="95">
        <v>21.1</v>
      </c>
      <c r="N39" s="95"/>
      <c r="O39" s="95"/>
      <c r="P39" s="95"/>
    </row>
    <row r="40" spans="1:16" ht="12.75">
      <c r="A40" s="95">
        <v>391.12</v>
      </c>
      <c r="B40" s="95" t="s">
        <v>85</v>
      </c>
      <c r="C40" s="95">
        <v>15</v>
      </c>
      <c r="D40" s="95" t="s">
        <v>92</v>
      </c>
      <c r="E40" s="95">
        <v>0</v>
      </c>
      <c r="F40" s="95">
        <v>77036.81</v>
      </c>
      <c r="G40" s="95">
        <v>33465</v>
      </c>
      <c r="H40" s="95">
        <v>43572</v>
      </c>
      <c r="I40" s="95">
        <v>5138</v>
      </c>
      <c r="J40" s="95">
        <v>6.67</v>
      </c>
      <c r="K40" s="95">
        <v>8.48</v>
      </c>
      <c r="L40" s="95">
        <v>43.4</v>
      </c>
      <c r="M40" s="95">
        <v>6.5</v>
      </c>
      <c r="N40" s="95"/>
      <c r="O40" s="95"/>
      <c r="P40" s="95"/>
    </row>
    <row r="41" spans="1:16" ht="12.75">
      <c r="A41" s="95">
        <v>391.3</v>
      </c>
      <c r="B41" s="95" t="s">
        <v>85</v>
      </c>
      <c r="C41" s="95">
        <v>5</v>
      </c>
      <c r="D41" s="95" t="s">
        <v>92</v>
      </c>
      <c r="E41" s="95">
        <v>0</v>
      </c>
      <c r="F41" s="95">
        <v>1127560.69</v>
      </c>
      <c r="G41" s="95">
        <v>496829</v>
      </c>
      <c r="H41" s="95">
        <v>630732</v>
      </c>
      <c r="I41" s="95">
        <v>225512</v>
      </c>
      <c r="J41" s="95">
        <v>20</v>
      </c>
      <c r="K41" s="95">
        <v>2.8</v>
      </c>
      <c r="L41" s="95">
        <v>44.1</v>
      </c>
      <c r="M41" s="95">
        <v>2.2</v>
      </c>
      <c r="N41" s="95"/>
      <c r="O41" s="95"/>
      <c r="P41" s="95"/>
    </row>
    <row r="42" spans="1:16" ht="12.75">
      <c r="A42" s="95">
        <v>391.4</v>
      </c>
      <c r="B42" s="95" t="s">
        <v>85</v>
      </c>
      <c r="C42" s="95">
        <v>10</v>
      </c>
      <c r="D42" s="95" t="s">
        <v>92</v>
      </c>
      <c r="E42" s="95">
        <v>0</v>
      </c>
      <c r="F42" s="95">
        <v>5977486.48</v>
      </c>
      <c r="G42" s="95">
        <v>2735085</v>
      </c>
      <c r="H42" s="95">
        <v>3242401</v>
      </c>
      <c r="I42" s="95">
        <v>597749</v>
      </c>
      <c r="J42" s="95">
        <v>10</v>
      </c>
      <c r="K42" s="95">
        <v>5.42</v>
      </c>
      <c r="L42" s="95">
        <v>45.8</v>
      </c>
      <c r="M42" s="95">
        <v>4.6</v>
      </c>
      <c r="N42" s="95"/>
      <c r="O42" s="95"/>
      <c r="P42" s="95"/>
    </row>
    <row r="43" spans="1:16" ht="12.75">
      <c r="A43" s="95">
        <v>392</v>
      </c>
      <c r="B43" s="96" t="s">
        <v>85</v>
      </c>
      <c r="C43" s="95">
        <v>13</v>
      </c>
      <c r="D43" s="95" t="s">
        <v>96</v>
      </c>
      <c r="E43" s="95">
        <v>10</v>
      </c>
      <c r="F43" s="95">
        <v>11944126.05</v>
      </c>
      <c r="G43" s="95">
        <v>5068505</v>
      </c>
      <c r="H43" s="95">
        <v>5681208</v>
      </c>
      <c r="I43" s="95">
        <v>799747</v>
      </c>
      <c r="J43" s="95">
        <v>6.7</v>
      </c>
      <c r="K43" s="95">
        <v>7.1</v>
      </c>
      <c r="L43" s="95">
        <v>42.4</v>
      </c>
      <c r="M43" s="95">
        <v>8.5</v>
      </c>
      <c r="N43" s="95"/>
      <c r="O43" s="95"/>
      <c r="P43" s="95"/>
    </row>
    <row r="44" spans="1:16" ht="12.75">
      <c r="A44" s="95">
        <v>394</v>
      </c>
      <c r="B44" s="96" t="s">
        <v>85</v>
      </c>
      <c r="C44" s="95">
        <v>20</v>
      </c>
      <c r="D44" s="95" t="s">
        <v>92</v>
      </c>
      <c r="E44" s="95">
        <v>0</v>
      </c>
      <c r="F44" s="95">
        <v>1115936.44</v>
      </c>
      <c r="G44" s="95">
        <v>376109</v>
      </c>
      <c r="H44" s="95">
        <v>739827</v>
      </c>
      <c r="I44" s="95">
        <v>55797</v>
      </c>
      <c r="J44" s="95">
        <v>5</v>
      </c>
      <c r="K44" s="95">
        <v>13.26</v>
      </c>
      <c r="L44" s="95">
        <v>33.7</v>
      </c>
      <c r="M44" s="95">
        <v>6.7</v>
      </c>
      <c r="N44" s="95"/>
      <c r="O44" s="95"/>
      <c r="P44" s="95"/>
    </row>
    <row r="45" spans="1:19" ht="12.75">
      <c r="A45" s="95">
        <v>397</v>
      </c>
      <c r="B45" s="96" t="s">
        <v>85</v>
      </c>
      <c r="C45" s="95">
        <v>20</v>
      </c>
      <c r="D45" s="95" t="s">
        <v>98</v>
      </c>
      <c r="E45" s="95">
        <v>-5</v>
      </c>
      <c r="F45" s="95">
        <v>10214241.58</v>
      </c>
      <c r="G45" s="95">
        <v>5919193</v>
      </c>
      <c r="H45" s="95">
        <v>4805761</v>
      </c>
      <c r="I45" s="95">
        <v>489939</v>
      </c>
      <c r="J45" s="95">
        <v>4.8</v>
      </c>
      <c r="K45" s="95">
        <v>9.81</v>
      </c>
      <c r="L45" s="95">
        <v>58</v>
      </c>
      <c r="M45" s="95">
        <v>14.5</v>
      </c>
      <c r="N45" s="95"/>
      <c r="O45" s="95"/>
      <c r="P45" s="95"/>
      <c r="Q45" s="97"/>
      <c r="R45" s="97"/>
      <c r="S45" s="97"/>
    </row>
    <row r="46" spans="1:19" ht="12.75">
      <c r="A46" s="95">
        <v>397.5</v>
      </c>
      <c r="B46" s="96" t="s">
        <v>85</v>
      </c>
      <c r="C46" s="95">
        <v>15</v>
      </c>
      <c r="D46" s="95" t="s">
        <v>96</v>
      </c>
      <c r="E46" s="95">
        <v>0</v>
      </c>
      <c r="F46" s="95">
        <v>1815240.61</v>
      </c>
      <c r="G46" s="95">
        <v>1152993</v>
      </c>
      <c r="H46" s="95">
        <v>662248</v>
      </c>
      <c r="I46" s="95">
        <v>106400</v>
      </c>
      <c r="J46" s="95">
        <v>5.86</v>
      </c>
      <c r="K46" s="95">
        <v>6.22</v>
      </c>
      <c r="L46" s="95">
        <v>63.5</v>
      </c>
      <c r="M46" s="95">
        <v>14.2</v>
      </c>
      <c r="N46" s="95"/>
      <c r="O46" s="95"/>
      <c r="P46" s="95"/>
      <c r="Q46" s="97"/>
      <c r="R46" s="97"/>
      <c r="S46" s="97"/>
    </row>
    <row r="47" spans="1:16" ht="12.7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1:16" ht="12.7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50" spans="6:9" ht="12.75">
      <c r="F50">
        <f>SUM(F2:F46)</f>
        <v>630871079.32</v>
      </c>
      <c r="G50">
        <f>SUM(G2:G46)</f>
        <v>270559786</v>
      </c>
      <c r="I50">
        <f>SUM(I2:I46)</f>
        <v>22002550</v>
      </c>
    </row>
    <row r="51" ht="12.75">
      <c r="F51" s="85">
        <f>F50-Table1!R91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B1">
      <selection activeCell="S1" sqref="S1"/>
    </sheetView>
  </sheetViews>
  <sheetFormatPr defaultColWidth="9.140625" defaultRowHeight="12.75" outlineLevelCol="1"/>
  <cols>
    <col min="1" max="1" width="13.28125" style="117" hidden="1" customWidth="1" outlineLevel="1"/>
    <col min="2" max="2" width="8.421875" style="117" bestFit="1" customWidth="1" collapsed="1"/>
    <col min="3" max="4" width="8.421875" style="117" customWidth="1"/>
    <col min="5" max="5" width="36.28125" style="117" bestFit="1" customWidth="1"/>
    <col min="6" max="6" width="9.28125" style="117" customWidth="1"/>
    <col min="7" max="7" width="17.421875" style="117" customWidth="1"/>
    <col min="8" max="8" width="22.57421875" style="117" customWidth="1"/>
    <col min="9" max="10" width="9.140625" style="117" customWidth="1"/>
    <col min="11" max="11" width="10.00390625" style="117" customWidth="1"/>
    <col min="12" max="12" width="13.57421875" style="117" bestFit="1" customWidth="1"/>
    <col min="13" max="14" width="14.00390625" style="117" bestFit="1" customWidth="1"/>
    <col min="15" max="16384" width="9.140625" style="117" customWidth="1"/>
  </cols>
  <sheetData>
    <row r="1" spans="2:4" ht="12.75">
      <c r="B1" s="161" t="s">
        <v>359</v>
      </c>
      <c r="C1" s="161"/>
      <c r="D1" s="161"/>
    </row>
    <row r="3" spans="2:14" ht="12.75">
      <c r="B3" s="158"/>
      <c r="C3" s="158"/>
      <c r="D3" s="158"/>
      <c r="E3" s="158"/>
      <c r="F3" s="158" t="s">
        <v>297</v>
      </c>
      <c r="G3" s="158" t="s">
        <v>298</v>
      </c>
      <c r="H3" s="158" t="s">
        <v>299</v>
      </c>
      <c r="K3" s="259" t="s">
        <v>390</v>
      </c>
      <c r="L3" s="260"/>
      <c r="M3" s="260"/>
      <c r="N3" s="261"/>
    </row>
    <row r="4" spans="1:14" ht="12.75">
      <c r="A4" t="s">
        <v>168</v>
      </c>
      <c r="B4" s="158" t="s">
        <v>134</v>
      </c>
      <c r="C4" s="170" t="s">
        <v>306</v>
      </c>
      <c r="D4" s="170" t="s">
        <v>139</v>
      </c>
      <c r="E4" s="158" t="s">
        <v>295</v>
      </c>
      <c r="F4" s="158" t="s">
        <v>296</v>
      </c>
      <c r="G4" s="159">
        <v>43100</v>
      </c>
      <c r="H4" s="158" t="s">
        <v>331</v>
      </c>
      <c r="K4" s="262"/>
      <c r="L4" s="263"/>
      <c r="M4" s="263"/>
      <c r="N4" s="264" t="s">
        <v>393</v>
      </c>
    </row>
    <row r="5" spans="1:14" ht="12.75">
      <c r="A5" s="171">
        <f>C5</f>
        <v>310</v>
      </c>
      <c r="B5" s="117">
        <v>1101</v>
      </c>
      <c r="C5" s="117">
        <v>310</v>
      </c>
      <c r="D5" s="117" t="s">
        <v>324</v>
      </c>
      <c r="E5" s="117" t="s">
        <v>325</v>
      </c>
      <c r="F5" s="117">
        <v>0</v>
      </c>
      <c r="G5" s="162">
        <v>2261809.69</v>
      </c>
      <c r="H5" s="162">
        <v>0</v>
      </c>
      <c r="K5" s="262"/>
      <c r="L5" s="263" t="s">
        <v>391</v>
      </c>
      <c r="M5" s="263" t="s">
        <v>392</v>
      </c>
      <c r="N5" s="264" t="s">
        <v>391</v>
      </c>
    </row>
    <row r="6" spans="1:14" ht="12.75">
      <c r="A6" s="171">
        <f>C6</f>
        <v>311</v>
      </c>
      <c r="B6" s="117">
        <v>1102</v>
      </c>
      <c r="C6" s="117">
        <v>311</v>
      </c>
      <c r="D6" s="117" t="s">
        <v>324</v>
      </c>
      <c r="E6" s="117" t="s">
        <v>326</v>
      </c>
      <c r="F6" s="117">
        <v>0.0935</v>
      </c>
      <c r="G6" s="162">
        <v>7979540.79</v>
      </c>
      <c r="H6" s="162">
        <v>4971244.19853756</v>
      </c>
      <c r="K6" s="265" t="s">
        <v>386</v>
      </c>
      <c r="L6" s="266"/>
      <c r="M6" s="92">
        <f>VLOOKUP(K6,Deprlot,7,FALSE)</f>
        <v>2100717</v>
      </c>
      <c r="N6" s="270">
        <f>ROUND($L$10*(M6/$M$10),2)</f>
        <v>1373687.14</v>
      </c>
    </row>
    <row r="7" spans="1:14" ht="12.75">
      <c r="A7" s="171">
        <f>C7</f>
        <v>312</v>
      </c>
      <c r="B7" s="117">
        <v>1103</v>
      </c>
      <c r="C7" s="117">
        <v>312</v>
      </c>
      <c r="D7" s="117" t="s">
        <v>324</v>
      </c>
      <c r="E7" s="117" t="s">
        <v>327</v>
      </c>
      <c r="F7" s="117">
        <v>0.0765</v>
      </c>
      <c r="G7" s="162">
        <v>1630612.91</v>
      </c>
      <c r="H7" s="162">
        <v>1329610.8570496452</v>
      </c>
      <c r="K7" s="265" t="s">
        <v>387</v>
      </c>
      <c r="L7" s="266"/>
      <c r="M7" s="92">
        <f>VLOOKUP(K7,Deprlot,7,FALSE)</f>
        <v>4026569</v>
      </c>
      <c r="N7" s="270">
        <f>ROUND($L$10*(M7/$M$10),2)</f>
        <v>2633027.7</v>
      </c>
    </row>
    <row r="8" spans="1:14" ht="12.75">
      <c r="A8" s="171">
        <f>C8</f>
        <v>312</v>
      </c>
      <c r="B8" s="117">
        <v>1104</v>
      </c>
      <c r="C8" s="117">
        <v>312</v>
      </c>
      <c r="D8" s="117" t="s">
        <v>324</v>
      </c>
      <c r="E8" s="117" t="s">
        <v>328</v>
      </c>
      <c r="F8" s="117">
        <v>0.0765</v>
      </c>
      <c r="G8" s="162">
        <v>32948.89</v>
      </c>
      <c r="H8" s="162">
        <v>-255.6451768829029</v>
      </c>
      <c r="K8" s="265" t="s">
        <v>388</v>
      </c>
      <c r="L8" s="266"/>
      <c r="M8" s="92">
        <f>VLOOKUP(K8,Deprlot,7,FALSE)</f>
        <v>15442475</v>
      </c>
      <c r="N8" s="270">
        <f>ROUND($L$10*(M8/$M$10),2)</f>
        <v>10098042.4</v>
      </c>
    </row>
    <row r="9" spans="1:14" ht="12.75">
      <c r="A9" s="171">
        <f>C9</f>
        <v>312</v>
      </c>
      <c r="B9" s="117">
        <v>1105</v>
      </c>
      <c r="C9" s="117">
        <v>312</v>
      </c>
      <c r="D9" s="117" t="s">
        <v>324</v>
      </c>
      <c r="E9" s="117" t="s">
        <v>329</v>
      </c>
      <c r="F9" s="117">
        <v>0.0765</v>
      </c>
      <c r="G9" s="162">
        <v>24782418.01</v>
      </c>
      <c r="H9" s="162">
        <v>18259597.97400002</v>
      </c>
      <c r="K9" s="262"/>
      <c r="L9" s="266"/>
      <c r="M9" s="260"/>
      <c r="N9" s="261"/>
    </row>
    <row r="10" spans="1:14" ht="12.75">
      <c r="A10" s="171">
        <f>C10</f>
        <v>314</v>
      </c>
      <c r="B10" s="117">
        <v>1107</v>
      </c>
      <c r="C10" s="117">
        <v>314</v>
      </c>
      <c r="D10" s="117" t="s">
        <v>324</v>
      </c>
      <c r="E10" s="117" t="s">
        <v>330</v>
      </c>
      <c r="F10" s="117">
        <v>0.082</v>
      </c>
      <c r="G10" s="162">
        <v>21501600.47</v>
      </c>
      <c r="H10" s="162">
        <v>14104757.24795647</v>
      </c>
      <c r="K10" s="267" t="s">
        <v>389</v>
      </c>
      <c r="L10" s="179">
        <f>_xlfn.SUMIFS(Controls!$H:$H,Controls!$A:$A,314)</f>
        <v>14104757.24795647</v>
      </c>
      <c r="M10" s="268">
        <f>SUBTOTAL(9,M6:M9)</f>
        <v>21569761</v>
      </c>
      <c r="N10" s="269">
        <f>SUBTOTAL(9,N6:N9)</f>
        <v>14104757.24</v>
      </c>
    </row>
    <row r="11" spans="1:14" ht="12.75">
      <c r="A11" s="172" t="s">
        <v>91</v>
      </c>
      <c r="B11" s="117">
        <v>1109</v>
      </c>
      <c r="C11" s="117">
        <v>344</v>
      </c>
      <c r="D11" s="164" t="s">
        <v>141</v>
      </c>
      <c r="E11" s="117" t="s">
        <v>105</v>
      </c>
      <c r="F11" s="117">
        <v>0.0228</v>
      </c>
      <c r="G11" s="162">
        <v>35297120.5</v>
      </c>
      <c r="H11" s="162">
        <v>6671147.714322767</v>
      </c>
      <c r="N11" s="271">
        <f>N10-L10</f>
        <v>-0.007956469431519508</v>
      </c>
    </row>
    <row r="12" spans="1:8" ht="12.75">
      <c r="A12" s="171">
        <f aca="true" t="shared" si="0" ref="A12:A17">C12</f>
        <v>315</v>
      </c>
      <c r="B12" s="117">
        <v>1113</v>
      </c>
      <c r="C12" s="117">
        <v>315</v>
      </c>
      <c r="D12" s="117" t="s">
        <v>324</v>
      </c>
      <c r="E12" s="117" t="s">
        <v>333</v>
      </c>
      <c r="F12" s="117">
        <v>0.0514</v>
      </c>
      <c r="G12" s="162">
        <v>2283113.25</v>
      </c>
      <c r="H12" s="162">
        <v>1996683.9334008622</v>
      </c>
    </row>
    <row r="13" spans="1:8" ht="12.75">
      <c r="A13" s="171">
        <f t="shared" si="0"/>
        <v>316</v>
      </c>
      <c r="B13" s="117">
        <v>1115</v>
      </c>
      <c r="C13" s="117">
        <v>316</v>
      </c>
      <c r="D13" s="117" t="s">
        <v>324</v>
      </c>
      <c r="E13" s="117" t="s">
        <v>334</v>
      </c>
      <c r="F13" s="117">
        <v>0.0699</v>
      </c>
      <c r="G13" s="162">
        <v>1506403.2</v>
      </c>
      <c r="H13" s="162">
        <v>1191215.69576627</v>
      </c>
    </row>
    <row r="14" spans="1:8" ht="12.75">
      <c r="A14" s="171">
        <f t="shared" si="0"/>
        <v>316</v>
      </c>
      <c r="B14" s="117">
        <v>1135</v>
      </c>
      <c r="C14" s="117">
        <v>316</v>
      </c>
      <c r="D14" s="117" t="s">
        <v>324</v>
      </c>
      <c r="E14" s="117" t="s">
        <v>335</v>
      </c>
      <c r="F14" s="117">
        <v>0.0699</v>
      </c>
      <c r="G14" s="162">
        <v>6483.31</v>
      </c>
      <c r="H14" s="162">
        <v>5194.327262738247</v>
      </c>
    </row>
    <row r="15" spans="1:8" ht="12.75">
      <c r="A15" s="171">
        <f t="shared" si="0"/>
        <v>311</v>
      </c>
      <c r="B15" s="117">
        <v>1139</v>
      </c>
      <c r="C15" s="117">
        <v>311</v>
      </c>
      <c r="D15" s="117" t="s">
        <v>324</v>
      </c>
      <c r="E15" s="117" t="s">
        <v>336</v>
      </c>
      <c r="F15" s="117">
        <v>0.0935</v>
      </c>
      <c r="G15" s="162">
        <v>1026497.29</v>
      </c>
      <c r="H15" s="162">
        <v>605337.8075439378</v>
      </c>
    </row>
    <row r="16" spans="1:8" ht="12.75">
      <c r="A16" s="171">
        <f t="shared" si="0"/>
        <v>340</v>
      </c>
      <c r="B16" s="117">
        <v>1201</v>
      </c>
      <c r="C16" s="117">
        <v>340</v>
      </c>
      <c r="D16" s="117" t="s">
        <v>324</v>
      </c>
      <c r="E16" s="117" t="s">
        <v>337</v>
      </c>
      <c r="F16" s="117">
        <v>0</v>
      </c>
      <c r="G16" s="162">
        <v>43567.22</v>
      </c>
      <c r="H16" s="162">
        <v>0</v>
      </c>
    </row>
    <row r="17" spans="1:8" ht="12.75">
      <c r="A17" s="171">
        <f t="shared" si="0"/>
        <v>341</v>
      </c>
      <c r="B17" s="117">
        <v>1202</v>
      </c>
      <c r="C17" s="117">
        <v>341</v>
      </c>
      <c r="D17" s="117" t="s">
        <v>324</v>
      </c>
      <c r="E17" s="117" t="s">
        <v>338</v>
      </c>
      <c r="F17" s="117">
        <v>0.0338</v>
      </c>
      <c r="G17" s="162">
        <v>481305.81</v>
      </c>
      <c r="H17" s="162">
        <v>212390.83181042265</v>
      </c>
    </row>
    <row r="18" spans="1:8" ht="12.75">
      <c r="A18" s="172" t="s">
        <v>90</v>
      </c>
      <c r="B18" s="117">
        <v>1209</v>
      </c>
      <c r="C18" s="117">
        <v>344</v>
      </c>
      <c r="D18" s="164" t="s">
        <v>143</v>
      </c>
      <c r="E18" s="117" t="s">
        <v>339</v>
      </c>
      <c r="F18" s="117">
        <v>0.0488</v>
      </c>
      <c r="G18" s="162">
        <v>12865544.799999999</v>
      </c>
      <c r="H18" s="162">
        <v>3388934.092959295</v>
      </c>
    </row>
    <row r="19" spans="1:8" ht="12.75">
      <c r="A19" s="171">
        <f aca="true" t="shared" si="1" ref="A19:A60">C19</f>
        <v>346</v>
      </c>
      <c r="B19" s="117">
        <v>1215</v>
      </c>
      <c r="C19" s="117">
        <v>346</v>
      </c>
      <c r="D19" s="117" t="s">
        <v>324</v>
      </c>
      <c r="E19" s="117" t="s">
        <v>340</v>
      </c>
      <c r="F19" s="117">
        <v>0.043</v>
      </c>
      <c r="G19" s="162">
        <v>320115.73</v>
      </c>
      <c r="H19" s="162">
        <v>125928.42270632648</v>
      </c>
    </row>
    <row r="20" spans="1:8" ht="12.75">
      <c r="A20" s="171">
        <f t="shared" si="1"/>
        <v>389</v>
      </c>
      <c r="B20" s="117">
        <v>1301</v>
      </c>
      <c r="C20" s="117">
        <v>389</v>
      </c>
      <c r="D20" s="117" t="s">
        <v>324</v>
      </c>
      <c r="E20" s="117" t="s">
        <v>40</v>
      </c>
      <c r="F20" s="117">
        <v>0</v>
      </c>
      <c r="G20" s="162">
        <v>20470.21</v>
      </c>
      <c r="H20" s="162">
        <v>0</v>
      </c>
    </row>
    <row r="21" spans="1:8" ht="12.75">
      <c r="A21" s="171">
        <f t="shared" si="1"/>
        <v>390</v>
      </c>
      <c r="B21" s="117">
        <v>1315</v>
      </c>
      <c r="C21" s="117">
        <v>390</v>
      </c>
      <c r="D21" s="117" t="s">
        <v>324</v>
      </c>
      <c r="E21" s="117" t="s">
        <v>341</v>
      </c>
      <c r="F21" s="117">
        <v>0.025</v>
      </c>
      <c r="G21" s="162">
        <v>201817.44</v>
      </c>
      <c r="H21" s="162">
        <v>117202.92976010787</v>
      </c>
    </row>
    <row r="22" spans="1:8" ht="12.75">
      <c r="A22" s="171">
        <f t="shared" si="1"/>
        <v>0</v>
      </c>
      <c r="B22" s="117">
        <v>1355</v>
      </c>
      <c r="D22" s="117" t="s">
        <v>324</v>
      </c>
      <c r="E22" s="117" t="s">
        <v>41</v>
      </c>
      <c r="F22" s="117">
        <v>0</v>
      </c>
      <c r="G22" s="162">
        <v>0</v>
      </c>
      <c r="H22" s="162">
        <v>0</v>
      </c>
    </row>
    <row r="23" spans="1:8" ht="12.75">
      <c r="A23" s="171">
        <f t="shared" si="1"/>
        <v>390</v>
      </c>
      <c r="B23" s="117">
        <v>1379</v>
      </c>
      <c r="C23" s="117">
        <v>390</v>
      </c>
      <c r="D23" s="117" t="s">
        <v>324</v>
      </c>
      <c r="E23" s="117" t="s">
        <v>42</v>
      </c>
      <c r="F23" s="117">
        <v>0.025</v>
      </c>
      <c r="G23" s="162">
        <v>701588.95</v>
      </c>
      <c r="H23" s="162">
        <v>303553.78528641345</v>
      </c>
    </row>
    <row r="24" spans="1:8" ht="12.75">
      <c r="A24" s="171">
        <f t="shared" si="1"/>
        <v>360</v>
      </c>
      <c r="B24" s="117">
        <v>1740</v>
      </c>
      <c r="C24" s="117">
        <v>360</v>
      </c>
      <c r="D24" s="117" t="s">
        <v>324</v>
      </c>
      <c r="E24" s="117" t="s">
        <v>342</v>
      </c>
      <c r="F24" s="117">
        <v>0</v>
      </c>
      <c r="G24" s="162">
        <v>4506.02</v>
      </c>
      <c r="H24" s="162">
        <v>0</v>
      </c>
    </row>
    <row r="25" spans="1:8" ht="12.75">
      <c r="A25" s="171">
        <f t="shared" si="1"/>
        <v>362</v>
      </c>
      <c r="B25" s="117">
        <v>1741</v>
      </c>
      <c r="C25" s="117">
        <v>362</v>
      </c>
      <c r="D25" s="117" t="s">
        <v>324</v>
      </c>
      <c r="E25" s="117" t="s">
        <v>343</v>
      </c>
      <c r="F25" s="117">
        <v>0.0219</v>
      </c>
      <c r="G25" s="162">
        <v>3289858.801614418</v>
      </c>
      <c r="H25" s="162">
        <v>778875.8129957108</v>
      </c>
    </row>
    <row r="26" spans="1:8" ht="12.75">
      <c r="A26" s="171">
        <f t="shared" si="1"/>
        <v>360</v>
      </c>
      <c r="B26" s="117">
        <v>1744</v>
      </c>
      <c r="C26" s="117">
        <v>360</v>
      </c>
      <c r="D26" s="117" t="s">
        <v>324</v>
      </c>
      <c r="E26" s="117" t="s">
        <v>43</v>
      </c>
      <c r="F26" s="117">
        <v>0</v>
      </c>
      <c r="G26" s="162">
        <v>5466.93</v>
      </c>
      <c r="H26" s="162">
        <v>0</v>
      </c>
    </row>
    <row r="27" spans="1:8" ht="12.75">
      <c r="A27" s="171">
        <f t="shared" si="1"/>
        <v>365</v>
      </c>
      <c r="B27" s="117">
        <v>1748</v>
      </c>
      <c r="C27" s="117">
        <v>365</v>
      </c>
      <c r="D27" s="117" t="s">
        <v>324</v>
      </c>
      <c r="E27" s="117" t="s">
        <v>344</v>
      </c>
      <c r="F27" s="117">
        <v>0.0314</v>
      </c>
      <c r="G27" s="162">
        <v>84370092.67169668</v>
      </c>
      <c r="H27" s="162">
        <v>25049931.98097523</v>
      </c>
    </row>
    <row r="28" spans="1:8" ht="12.75">
      <c r="A28" s="171">
        <f t="shared" si="1"/>
        <v>364</v>
      </c>
      <c r="B28" s="117">
        <v>1749</v>
      </c>
      <c r="C28" s="117">
        <v>364</v>
      </c>
      <c r="D28" s="117" t="s">
        <v>324</v>
      </c>
      <c r="E28" s="117" t="s">
        <v>44</v>
      </c>
      <c r="F28" s="117">
        <v>0.0349</v>
      </c>
      <c r="G28" s="162">
        <v>75601860.44417414</v>
      </c>
      <c r="H28" s="162">
        <v>32224334.203374095</v>
      </c>
    </row>
    <row r="29" spans="1:8" ht="12.75">
      <c r="A29" s="171">
        <f t="shared" si="1"/>
        <v>365</v>
      </c>
      <c r="B29" s="117">
        <v>1750</v>
      </c>
      <c r="C29" s="117">
        <v>365</v>
      </c>
      <c r="D29" s="117" t="s">
        <v>324</v>
      </c>
      <c r="E29" s="117" t="s">
        <v>45</v>
      </c>
      <c r="F29" s="117">
        <v>0.0314</v>
      </c>
      <c r="G29" s="162">
        <v>9505073.21529968</v>
      </c>
      <c r="H29" s="162">
        <v>2250196.9371207585</v>
      </c>
    </row>
    <row r="30" spans="1:8" ht="12.75">
      <c r="A30" s="171">
        <f t="shared" si="1"/>
        <v>368.1</v>
      </c>
      <c r="B30" s="117">
        <v>1751</v>
      </c>
      <c r="C30" s="117">
        <v>368.1</v>
      </c>
      <c r="D30" s="117" t="s">
        <v>324</v>
      </c>
      <c r="E30" s="117" t="s">
        <v>345</v>
      </c>
      <c r="F30" s="117">
        <v>0.0329</v>
      </c>
      <c r="G30" s="162">
        <v>69024149.65154763</v>
      </c>
      <c r="H30" s="162">
        <v>16616503.653194483</v>
      </c>
    </row>
    <row r="31" spans="1:8" ht="12.75">
      <c r="A31" s="171">
        <f t="shared" si="1"/>
        <v>368.2</v>
      </c>
      <c r="B31" s="117">
        <v>1752</v>
      </c>
      <c r="C31" s="117">
        <v>368.2</v>
      </c>
      <c r="D31" s="117" t="s">
        <v>324</v>
      </c>
      <c r="E31" s="117" t="s">
        <v>346</v>
      </c>
      <c r="F31" s="117">
        <v>0.0329</v>
      </c>
      <c r="G31" s="162">
        <v>12591273.826826671</v>
      </c>
      <c r="H31" s="162">
        <v>2136491.9286919106</v>
      </c>
    </row>
    <row r="32" spans="1:8" ht="12.75">
      <c r="A32" s="171">
        <f t="shared" si="1"/>
        <v>369.01</v>
      </c>
      <c r="B32" s="117">
        <v>1753</v>
      </c>
      <c r="C32" s="117">
        <v>369.01</v>
      </c>
      <c r="D32" s="117" t="s">
        <v>324</v>
      </c>
      <c r="E32" s="117" t="s">
        <v>46</v>
      </c>
      <c r="F32" s="117">
        <v>0.0312</v>
      </c>
      <c r="G32" s="162">
        <v>67238249.05562337</v>
      </c>
      <c r="H32" s="162">
        <v>30225357.444867756</v>
      </c>
    </row>
    <row r="33" spans="1:8" ht="12.75">
      <c r="A33" s="171">
        <f t="shared" si="1"/>
        <v>373</v>
      </c>
      <c r="B33" s="117">
        <v>1754</v>
      </c>
      <c r="C33" s="117">
        <v>373</v>
      </c>
      <c r="D33" s="117" t="s">
        <v>324</v>
      </c>
      <c r="E33" s="117" t="s">
        <v>47</v>
      </c>
      <c r="F33" s="117">
        <v>0.046</v>
      </c>
      <c r="G33" s="162">
        <v>6053458.581102256</v>
      </c>
      <c r="H33" s="162">
        <v>1484640.6574614488</v>
      </c>
    </row>
    <row r="34" spans="1:8" ht="12.75">
      <c r="A34" s="171">
        <f t="shared" si="1"/>
        <v>367</v>
      </c>
      <c r="B34" s="117">
        <v>1755</v>
      </c>
      <c r="C34" s="117">
        <v>367</v>
      </c>
      <c r="D34" s="117" t="s">
        <v>324</v>
      </c>
      <c r="E34" s="117" t="s">
        <v>48</v>
      </c>
      <c r="F34" s="117">
        <v>0.0244</v>
      </c>
      <c r="G34" s="162">
        <v>3097193.9401726234</v>
      </c>
      <c r="H34" s="162">
        <v>1339415.6818252858</v>
      </c>
    </row>
    <row r="35" spans="1:8" ht="12.75">
      <c r="A35" s="171">
        <f t="shared" si="1"/>
        <v>369.02</v>
      </c>
      <c r="B35" s="117">
        <v>1756</v>
      </c>
      <c r="C35" s="117">
        <v>369.02</v>
      </c>
      <c r="D35" s="117" t="s">
        <v>324</v>
      </c>
      <c r="E35" s="117" t="s">
        <v>49</v>
      </c>
      <c r="F35" s="117">
        <v>0.0244</v>
      </c>
      <c r="G35" s="162">
        <v>2076694.9818942554</v>
      </c>
      <c r="H35" s="162">
        <v>1033873.2486235269</v>
      </c>
    </row>
    <row r="36" spans="1:8" ht="12.75">
      <c r="A36" s="171">
        <f t="shared" si="1"/>
        <v>373.2</v>
      </c>
      <c r="B36" s="117">
        <v>1757</v>
      </c>
      <c r="C36" s="117">
        <v>373.2</v>
      </c>
      <c r="D36" s="117" t="s">
        <v>324</v>
      </c>
      <c r="E36" s="117" t="s">
        <v>347</v>
      </c>
      <c r="F36" s="117">
        <v>0.044</v>
      </c>
      <c r="G36" s="162">
        <v>653788.61</v>
      </c>
      <c r="H36" s="162">
        <v>582595.6525770167</v>
      </c>
    </row>
    <row r="37" spans="1:8" ht="12.75">
      <c r="A37" s="171">
        <f t="shared" si="1"/>
        <v>370.1</v>
      </c>
      <c r="B37" s="117">
        <v>1758</v>
      </c>
      <c r="C37" s="117">
        <v>370.1</v>
      </c>
      <c r="D37" s="117" t="s">
        <v>324</v>
      </c>
      <c r="E37" s="117" t="s">
        <v>50</v>
      </c>
      <c r="F37" s="117">
        <v>0.0501</v>
      </c>
      <c r="G37" s="162">
        <v>14245974.385070844</v>
      </c>
      <c r="H37" s="162">
        <v>1555740.9153189438</v>
      </c>
    </row>
    <row r="38" spans="1:8" ht="12.75">
      <c r="A38" s="171">
        <f t="shared" si="1"/>
        <v>370.2</v>
      </c>
      <c r="B38" s="117">
        <v>1759</v>
      </c>
      <c r="C38" s="117">
        <v>370.2</v>
      </c>
      <c r="D38" s="117" t="s">
        <v>324</v>
      </c>
      <c r="E38" s="117" t="s">
        <v>348</v>
      </c>
      <c r="F38" s="117">
        <v>0.0333</v>
      </c>
      <c r="G38" s="162">
        <v>651341.4688152142</v>
      </c>
      <c r="H38" s="162">
        <v>-1216850.9125229986</v>
      </c>
    </row>
    <row r="39" spans="1:8" ht="12.75">
      <c r="A39" s="171">
        <f t="shared" si="1"/>
        <v>397</v>
      </c>
      <c r="B39" s="117">
        <v>1760</v>
      </c>
      <c r="C39" s="117">
        <v>397</v>
      </c>
      <c r="D39" s="117" t="s">
        <v>324</v>
      </c>
      <c r="E39" s="117" t="s">
        <v>349</v>
      </c>
      <c r="F39" s="117">
        <v>0.0477</v>
      </c>
      <c r="G39" s="162">
        <v>10214241.577993162</v>
      </c>
      <c r="H39" s="162">
        <v>5982949.630035153</v>
      </c>
    </row>
    <row r="40" spans="1:8" ht="12.75">
      <c r="A40" s="171">
        <f t="shared" si="1"/>
        <v>394</v>
      </c>
      <c r="B40" s="117">
        <v>1761</v>
      </c>
      <c r="C40" s="117">
        <v>394</v>
      </c>
      <c r="D40" s="117" t="s">
        <v>324</v>
      </c>
      <c r="E40" s="117" t="s">
        <v>350</v>
      </c>
      <c r="F40" s="117">
        <v>0.05</v>
      </c>
      <c r="G40" s="162">
        <v>22892.82879288289</v>
      </c>
      <c r="H40" s="162">
        <v>-328303.46982449765</v>
      </c>
    </row>
    <row r="41" spans="1:8" ht="12.75">
      <c r="A41" s="171">
        <f t="shared" si="1"/>
        <v>394</v>
      </c>
      <c r="B41" s="117">
        <v>1762</v>
      </c>
      <c r="C41" s="117">
        <v>394</v>
      </c>
      <c r="D41" s="117" t="s">
        <v>324</v>
      </c>
      <c r="E41" s="117" t="s">
        <v>51</v>
      </c>
      <c r="F41" s="117">
        <v>0.05</v>
      </c>
      <c r="G41" s="162">
        <v>1093043.6120103018</v>
      </c>
      <c r="H41" s="162">
        <v>346330.2237645549</v>
      </c>
    </row>
    <row r="42" spans="1:8" ht="12.75">
      <c r="A42" s="171">
        <f t="shared" si="1"/>
        <v>397.5</v>
      </c>
      <c r="B42" s="117">
        <v>1763</v>
      </c>
      <c r="C42" s="117">
        <v>397.5</v>
      </c>
      <c r="D42" s="117" t="s">
        <v>324</v>
      </c>
      <c r="E42" s="117" t="s">
        <v>351</v>
      </c>
      <c r="F42" s="117">
        <v>0.0667</v>
      </c>
      <c r="G42" s="162">
        <v>1815240.6080856323</v>
      </c>
      <c r="H42" s="162">
        <v>1221841.6502533758</v>
      </c>
    </row>
    <row r="43" spans="1:8" ht="12.75">
      <c r="A43" s="171">
        <f t="shared" si="1"/>
        <v>389</v>
      </c>
      <c r="B43" s="117">
        <v>1777</v>
      </c>
      <c r="C43" s="117">
        <v>389</v>
      </c>
      <c r="D43" s="117" t="s">
        <v>324</v>
      </c>
      <c r="E43" s="117" t="s">
        <v>352</v>
      </c>
      <c r="F43" s="117">
        <v>0</v>
      </c>
      <c r="G43" s="162">
        <v>329730.79</v>
      </c>
      <c r="H43" s="162">
        <v>0</v>
      </c>
    </row>
    <row r="44" spans="1:8" ht="12.75">
      <c r="A44" s="171">
        <f t="shared" si="1"/>
        <v>390.11</v>
      </c>
      <c r="B44" s="117">
        <v>1778</v>
      </c>
      <c r="C44" s="117">
        <v>390.11</v>
      </c>
      <c r="D44" s="117" t="s">
        <v>324</v>
      </c>
      <c r="E44" s="117" t="s">
        <v>353</v>
      </c>
      <c r="F44" s="117">
        <v>0.025</v>
      </c>
      <c r="G44" s="162">
        <v>4981389.65511918</v>
      </c>
      <c r="H44" s="162">
        <v>2214717.9284162596</v>
      </c>
    </row>
    <row r="45" spans="1:8" ht="12.75">
      <c r="A45" s="171">
        <f t="shared" si="1"/>
        <v>390.12</v>
      </c>
      <c r="B45" s="117">
        <v>1779</v>
      </c>
      <c r="C45" s="117">
        <v>390.12</v>
      </c>
      <c r="D45" s="117" t="s">
        <v>324</v>
      </c>
      <c r="E45" s="117" t="s">
        <v>354</v>
      </c>
      <c r="F45" s="117">
        <v>0.025</v>
      </c>
      <c r="G45" s="162">
        <v>6358301.060454251</v>
      </c>
      <c r="H45" s="162">
        <v>2537901.1735130553</v>
      </c>
    </row>
    <row r="46" spans="1:8" ht="12.75">
      <c r="A46" s="171">
        <f t="shared" si="1"/>
        <v>391.12</v>
      </c>
      <c r="B46" s="117">
        <v>1780</v>
      </c>
      <c r="C46" s="117">
        <v>391.12</v>
      </c>
      <c r="D46" s="117" t="s">
        <v>324</v>
      </c>
      <c r="E46" s="117" t="s">
        <v>52</v>
      </c>
      <c r="F46" s="117">
        <v>0.0667</v>
      </c>
      <c r="G46" s="162">
        <v>77036.81484183481</v>
      </c>
      <c r="H46" s="162">
        <v>-182854.87461399825</v>
      </c>
    </row>
    <row r="47" spans="1:8" ht="12.75">
      <c r="A47" s="171">
        <f t="shared" si="1"/>
        <v>392</v>
      </c>
      <c r="B47" s="117">
        <v>1781</v>
      </c>
      <c r="C47" s="117">
        <v>392</v>
      </c>
      <c r="D47" s="117" t="s">
        <v>324</v>
      </c>
      <c r="E47" s="117" t="s">
        <v>53</v>
      </c>
      <c r="F47" s="117">
        <v>0.07</v>
      </c>
      <c r="G47" s="162">
        <v>11944126.049798295</v>
      </c>
      <c r="H47" s="162">
        <v>4716476.599950289</v>
      </c>
    </row>
    <row r="48" spans="1:8" ht="12.75">
      <c r="A48" s="171">
        <f t="shared" si="1"/>
        <v>391.3</v>
      </c>
      <c r="B48" s="117">
        <v>1784</v>
      </c>
      <c r="C48" s="117">
        <v>391.3</v>
      </c>
      <c r="D48" s="117" t="s">
        <v>324</v>
      </c>
      <c r="E48" s="117" t="s">
        <v>54</v>
      </c>
      <c r="F48" s="117">
        <v>0.2</v>
      </c>
      <c r="G48" s="162">
        <v>1127560.6928431923</v>
      </c>
      <c r="H48" s="162">
        <v>-150808.71911589673</v>
      </c>
    </row>
    <row r="49" spans="1:8" ht="12.75">
      <c r="A49" s="171">
        <f t="shared" si="1"/>
        <v>391.4</v>
      </c>
      <c r="B49" s="117">
        <v>1785</v>
      </c>
      <c r="C49" s="117">
        <v>391.4</v>
      </c>
      <c r="D49" s="117" t="s">
        <v>324</v>
      </c>
      <c r="E49" s="117" t="s">
        <v>55</v>
      </c>
      <c r="F49" s="117">
        <v>0.1</v>
      </c>
      <c r="G49" s="162">
        <v>3205707.9011656377</v>
      </c>
      <c r="H49" s="162">
        <v>1195272.7509813213</v>
      </c>
    </row>
    <row r="50" spans="1:8" ht="12.75">
      <c r="A50" s="171">
        <f t="shared" si="1"/>
        <v>0</v>
      </c>
      <c r="B50" s="117">
        <v>1786</v>
      </c>
      <c r="D50" s="117" t="s">
        <v>324</v>
      </c>
      <c r="E50" s="117" t="s">
        <v>56</v>
      </c>
      <c r="F50" s="117">
        <v>0</v>
      </c>
      <c r="G50" s="162">
        <v>0</v>
      </c>
      <c r="H50" s="162">
        <v>0</v>
      </c>
    </row>
    <row r="51" spans="1:8" ht="12.75">
      <c r="A51" s="171">
        <f t="shared" si="1"/>
        <v>350</v>
      </c>
      <c r="B51" s="117">
        <v>1840</v>
      </c>
      <c r="C51" s="117">
        <v>350</v>
      </c>
      <c r="D51" s="117" t="s">
        <v>324</v>
      </c>
      <c r="E51" s="117" t="s">
        <v>355</v>
      </c>
      <c r="F51" s="117">
        <v>0</v>
      </c>
      <c r="G51" s="162">
        <v>501942.5831299062</v>
      </c>
      <c r="H51" s="162">
        <v>0</v>
      </c>
    </row>
    <row r="52" spans="1:8" ht="12.75">
      <c r="A52" s="171">
        <f t="shared" si="1"/>
        <v>353</v>
      </c>
      <c r="B52" s="117">
        <v>1841</v>
      </c>
      <c r="C52" s="117">
        <v>353</v>
      </c>
      <c r="D52" s="117" t="s">
        <v>324</v>
      </c>
      <c r="E52" s="117" t="s">
        <v>356</v>
      </c>
      <c r="F52" s="117">
        <v>0.0187</v>
      </c>
      <c r="G52" s="162">
        <v>50295932.84804658</v>
      </c>
      <c r="H52" s="162">
        <v>17490413.91319441</v>
      </c>
    </row>
    <row r="53" spans="1:8" ht="12.75">
      <c r="A53" s="171">
        <f t="shared" si="1"/>
        <v>350</v>
      </c>
      <c r="B53" s="117">
        <v>1844</v>
      </c>
      <c r="C53" s="117">
        <v>350</v>
      </c>
      <c r="D53" s="117" t="s">
        <v>324</v>
      </c>
      <c r="E53" s="117" t="s">
        <v>57</v>
      </c>
      <c r="F53" s="117">
        <v>0</v>
      </c>
      <c r="G53" s="162">
        <v>433956.04284976044</v>
      </c>
      <c r="H53" s="162">
        <v>0</v>
      </c>
    </row>
    <row r="54" spans="1:8" ht="12.75">
      <c r="A54" s="171">
        <f t="shared" si="1"/>
        <v>359</v>
      </c>
      <c r="B54" s="117">
        <v>1846</v>
      </c>
      <c r="C54" s="117">
        <v>359</v>
      </c>
      <c r="D54" s="117" t="s">
        <v>324</v>
      </c>
      <c r="E54" s="117" t="s">
        <v>70</v>
      </c>
      <c r="F54" s="117">
        <v>0.02</v>
      </c>
      <c r="G54" s="162">
        <v>73263</v>
      </c>
      <c r="H54" s="162">
        <v>13866.619702557844</v>
      </c>
    </row>
    <row r="55" spans="1:8" ht="12.75">
      <c r="A55" s="171">
        <f t="shared" si="1"/>
        <v>354</v>
      </c>
      <c r="B55" s="117">
        <v>1847</v>
      </c>
      <c r="C55" s="117">
        <v>354</v>
      </c>
      <c r="D55" s="117" t="s">
        <v>324</v>
      </c>
      <c r="E55" s="117" t="s">
        <v>58</v>
      </c>
      <c r="F55" s="117">
        <v>0.02</v>
      </c>
      <c r="G55" s="162">
        <v>878834.26</v>
      </c>
      <c r="H55" s="162">
        <v>727879.0599927916</v>
      </c>
    </row>
    <row r="56" spans="1:8" ht="12.75">
      <c r="A56" s="171">
        <f t="shared" si="1"/>
        <v>356</v>
      </c>
      <c r="B56" s="117">
        <v>1848</v>
      </c>
      <c r="C56" s="117">
        <v>356</v>
      </c>
      <c r="D56" s="117" t="s">
        <v>324</v>
      </c>
      <c r="E56" s="117" t="s">
        <v>357</v>
      </c>
      <c r="F56" s="117">
        <v>0.0246</v>
      </c>
      <c r="G56" s="162">
        <v>42905459.36580886</v>
      </c>
      <c r="H56" s="162">
        <v>12697986.606941221</v>
      </c>
    </row>
    <row r="57" spans="1:8" ht="12.75">
      <c r="A57" s="171">
        <f t="shared" si="1"/>
        <v>355</v>
      </c>
      <c r="B57" s="117">
        <v>1849</v>
      </c>
      <c r="C57" s="117">
        <v>355</v>
      </c>
      <c r="D57" s="117" t="s">
        <v>324</v>
      </c>
      <c r="E57" s="117" t="s">
        <v>59</v>
      </c>
      <c r="F57" s="117">
        <v>0.03</v>
      </c>
      <c r="G57" s="162">
        <v>22861633.714456514</v>
      </c>
      <c r="H57" s="162">
        <v>6574086.283361013</v>
      </c>
    </row>
    <row r="58" spans="1:8" ht="12.75">
      <c r="A58" s="171">
        <f t="shared" si="1"/>
        <v>356</v>
      </c>
      <c r="B58" s="117">
        <v>1850</v>
      </c>
      <c r="C58" s="117">
        <v>356</v>
      </c>
      <c r="D58" s="117" t="s">
        <v>324</v>
      </c>
      <c r="E58" s="117" t="s">
        <v>60</v>
      </c>
      <c r="F58" s="117">
        <v>0.0246</v>
      </c>
      <c r="G58" s="162">
        <v>2716495.560766224</v>
      </c>
      <c r="H58" s="162">
        <v>584009.4143184237</v>
      </c>
    </row>
    <row r="59" spans="1:8" ht="12.75">
      <c r="A59" s="171">
        <f t="shared" si="1"/>
        <v>358</v>
      </c>
      <c r="B59" s="117">
        <v>1855</v>
      </c>
      <c r="C59" s="117">
        <v>358</v>
      </c>
      <c r="D59" s="117" t="s">
        <v>324</v>
      </c>
      <c r="E59" s="117" t="s">
        <v>61</v>
      </c>
      <c r="F59" s="117">
        <v>0</v>
      </c>
      <c r="G59" s="162">
        <v>-7.105427357601002E-15</v>
      </c>
      <c r="H59" s="162">
        <v>0</v>
      </c>
    </row>
    <row r="60" spans="1:8" ht="12.75">
      <c r="A60" s="171">
        <f t="shared" si="1"/>
        <v>350</v>
      </c>
      <c r="B60" s="117">
        <v>1877</v>
      </c>
      <c r="C60" s="117">
        <v>350</v>
      </c>
      <c r="D60" s="117" t="s">
        <v>324</v>
      </c>
      <c r="E60" s="117" t="s">
        <v>358</v>
      </c>
      <c r="F60" s="117">
        <v>0</v>
      </c>
      <c r="G60" s="162">
        <v>165585.83</v>
      </c>
      <c r="H60" s="162">
        <v>0</v>
      </c>
    </row>
    <row r="61" ht="12.75">
      <c r="A61" s="171"/>
    </row>
    <row r="62" spans="1:5" ht="12.75">
      <c r="A62" s="171"/>
      <c r="E62" t="s">
        <v>300</v>
      </c>
    </row>
    <row r="63" spans="1:8" ht="12.75">
      <c r="A63" s="171">
        <f>C63</f>
        <v>360.2</v>
      </c>
      <c r="B63" s="164" t="s">
        <v>307</v>
      </c>
      <c r="C63" s="117">
        <v>360.2</v>
      </c>
      <c r="E63" s="117" t="s">
        <v>303</v>
      </c>
      <c r="F63" s="117">
        <v>0.0143</v>
      </c>
      <c r="G63" s="162">
        <v>282000</v>
      </c>
      <c r="H63" s="162">
        <v>62209.2</v>
      </c>
    </row>
    <row r="64" spans="1:8" ht="12.75">
      <c r="A64" s="171">
        <f>C64</f>
        <v>350.2</v>
      </c>
      <c r="B64" s="164" t="s">
        <v>307</v>
      </c>
      <c r="C64" s="117">
        <v>350.2</v>
      </c>
      <c r="E64" s="117" t="s">
        <v>304</v>
      </c>
      <c r="F64" s="117">
        <v>0.0143</v>
      </c>
      <c r="G64" s="162">
        <v>4462984.859999999</v>
      </c>
      <c r="H64" s="162">
        <v>1410493.709508</v>
      </c>
    </row>
    <row r="65" spans="1:8" ht="12.75">
      <c r="A65" s="171">
        <f>C65</f>
        <v>391.4</v>
      </c>
      <c r="B65" s="164" t="s">
        <v>308</v>
      </c>
      <c r="C65" s="117">
        <v>391.4</v>
      </c>
      <c r="E65" s="117" t="s">
        <v>305</v>
      </c>
      <c r="F65" s="117">
        <v>0.138</v>
      </c>
      <c r="G65" s="162">
        <v>2771778.5799999996</v>
      </c>
      <c r="H65" s="162">
        <v>2128738.61376</v>
      </c>
    </row>
    <row r="67" spans="5:8" ht="12.75">
      <c r="E67" s="160" t="s">
        <v>284</v>
      </c>
      <c r="G67" s="190">
        <f>SUBTOTAL(9,G5:G66)</f>
        <v>630871079.2900001</v>
      </c>
      <c r="H67" s="190">
        <f>SUBTOTAL(9,H5:H66)</f>
        <v>226586857.69182712</v>
      </c>
    </row>
    <row r="68" spans="7:8" ht="12.75">
      <c r="G68" s="128">
        <f>G67-Table1!R91</f>
        <v>-0.03000020980834961</v>
      </c>
      <c r="H68" s="128">
        <f>H67-Table2!N80</f>
        <v>0.00795641541481018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8515625" style="0" bestFit="1" customWidth="1"/>
    <col min="2" max="2" width="35.57421875" style="0" bestFit="1" customWidth="1"/>
    <col min="3" max="3" width="11.8515625" style="0" bestFit="1" customWidth="1"/>
    <col min="4" max="4" width="46.421875" style="0" bestFit="1" customWidth="1"/>
    <col min="5" max="6" width="6.00390625" style="0" bestFit="1" customWidth="1"/>
  </cols>
  <sheetData>
    <row r="1" spans="1:6" ht="12.75">
      <c r="A1" s="112" t="s">
        <v>134</v>
      </c>
      <c r="B1" s="112" t="s">
        <v>135</v>
      </c>
      <c r="C1" s="113" t="s">
        <v>136</v>
      </c>
      <c r="D1" s="113" t="s">
        <v>137</v>
      </c>
      <c r="E1" s="109" t="s">
        <v>138</v>
      </c>
      <c r="F1" s="109" t="s">
        <v>139</v>
      </c>
    </row>
    <row r="2" spans="1:6" ht="12.75">
      <c r="A2" s="111">
        <v>1101</v>
      </c>
      <c r="B2" s="111" t="s">
        <v>99</v>
      </c>
      <c r="C2" s="109">
        <v>310</v>
      </c>
      <c r="D2" s="109" t="s">
        <v>6</v>
      </c>
      <c r="E2" s="109">
        <v>31000</v>
      </c>
      <c r="F2" s="109"/>
    </row>
    <row r="3" spans="1:6" ht="12.75">
      <c r="A3" s="114">
        <v>1102</v>
      </c>
      <c r="B3" s="114" t="s">
        <v>100</v>
      </c>
      <c r="C3" s="115">
        <v>311</v>
      </c>
      <c r="D3" s="115" t="s">
        <v>33</v>
      </c>
      <c r="E3" s="109">
        <v>31100</v>
      </c>
      <c r="F3" s="109"/>
    </row>
    <row r="4" spans="1:6" ht="12.75">
      <c r="A4" s="114">
        <v>1103</v>
      </c>
      <c r="B4" s="114" t="s">
        <v>101</v>
      </c>
      <c r="C4" s="115">
        <v>312</v>
      </c>
      <c r="D4" s="115" t="s">
        <v>29</v>
      </c>
      <c r="E4" s="109">
        <v>31200</v>
      </c>
      <c r="F4" s="109"/>
    </row>
    <row r="5" spans="1:6" ht="12.75">
      <c r="A5" s="114">
        <v>1104</v>
      </c>
      <c r="B5" s="114" t="s">
        <v>102</v>
      </c>
      <c r="C5" s="115">
        <v>312</v>
      </c>
      <c r="D5" s="115" t="s">
        <v>29</v>
      </c>
      <c r="E5" s="109">
        <v>31200</v>
      </c>
      <c r="F5" s="109"/>
    </row>
    <row r="6" spans="1:6" ht="12.75">
      <c r="A6" s="114">
        <v>1105</v>
      </c>
      <c r="B6" s="114" t="s">
        <v>103</v>
      </c>
      <c r="C6" s="115">
        <v>312</v>
      </c>
      <c r="D6" s="115" t="s">
        <v>29</v>
      </c>
      <c r="E6" s="109">
        <v>31200</v>
      </c>
      <c r="F6" s="109"/>
    </row>
    <row r="7" spans="1:6" ht="12.75">
      <c r="A7" s="114">
        <v>1107</v>
      </c>
      <c r="B7" s="114" t="s">
        <v>104</v>
      </c>
      <c r="C7" s="115">
        <v>314</v>
      </c>
      <c r="D7" s="115" t="s">
        <v>30</v>
      </c>
      <c r="E7" s="109">
        <v>31400</v>
      </c>
      <c r="F7" s="109"/>
    </row>
    <row r="8" spans="1:6" ht="15">
      <c r="A8" s="114">
        <v>1109</v>
      </c>
      <c r="B8" s="110" t="s">
        <v>140</v>
      </c>
      <c r="C8" s="115">
        <v>344</v>
      </c>
      <c r="D8" s="115" t="s">
        <v>30</v>
      </c>
      <c r="E8" s="109">
        <v>34400</v>
      </c>
      <c r="F8" s="116" t="s">
        <v>141</v>
      </c>
    </row>
    <row r="9" spans="1:6" ht="12.75">
      <c r="A9" s="114">
        <v>1113</v>
      </c>
      <c r="B9" s="114" t="s">
        <v>106</v>
      </c>
      <c r="C9" s="115">
        <v>315</v>
      </c>
      <c r="D9" s="115" t="s">
        <v>31</v>
      </c>
      <c r="E9" s="109">
        <v>31500</v>
      </c>
      <c r="F9" s="109"/>
    </row>
    <row r="10" spans="1:6" ht="12.75">
      <c r="A10" s="114">
        <v>1115</v>
      </c>
      <c r="B10" s="114" t="s">
        <v>107</v>
      </c>
      <c r="C10" s="115">
        <v>316</v>
      </c>
      <c r="D10" s="115" t="s">
        <v>142</v>
      </c>
      <c r="E10" s="109">
        <v>31600</v>
      </c>
      <c r="F10" s="109"/>
    </row>
    <row r="11" spans="1:6" ht="12.75">
      <c r="A11" s="114">
        <v>1135</v>
      </c>
      <c r="B11" s="114" t="s">
        <v>108</v>
      </c>
      <c r="C11" s="115">
        <v>316</v>
      </c>
      <c r="D11" s="115" t="s">
        <v>142</v>
      </c>
      <c r="E11" s="109">
        <v>31600</v>
      </c>
      <c r="F11" s="109"/>
    </row>
    <row r="12" spans="1:6" ht="12.75">
      <c r="A12" s="114">
        <v>1139</v>
      </c>
      <c r="B12" s="114" t="s">
        <v>109</v>
      </c>
      <c r="C12" s="115">
        <v>311</v>
      </c>
      <c r="D12" s="115" t="s">
        <v>33</v>
      </c>
      <c r="E12" s="109">
        <v>31100</v>
      </c>
      <c r="F12" s="109"/>
    </row>
    <row r="13" spans="1:6" ht="12.75">
      <c r="A13" s="114">
        <v>1201</v>
      </c>
      <c r="B13" s="114" t="s">
        <v>110</v>
      </c>
      <c r="C13" s="115">
        <v>340</v>
      </c>
      <c r="D13" s="115" t="s">
        <v>6</v>
      </c>
      <c r="E13" s="109">
        <v>34000</v>
      </c>
      <c r="F13" s="109"/>
    </row>
    <row r="14" spans="1:6" ht="12.75">
      <c r="A14" s="114">
        <v>1202</v>
      </c>
      <c r="B14" s="114" t="s">
        <v>111</v>
      </c>
      <c r="C14" s="115">
        <v>341</v>
      </c>
      <c r="D14" s="115" t="s">
        <v>33</v>
      </c>
      <c r="E14" s="109">
        <v>34100</v>
      </c>
      <c r="F14" s="109"/>
    </row>
    <row r="15" spans="1:6" ht="12.75">
      <c r="A15" s="114">
        <v>1209</v>
      </c>
      <c r="B15" s="114" t="s">
        <v>112</v>
      </c>
      <c r="C15" s="115">
        <v>344</v>
      </c>
      <c r="D15" s="115" t="s">
        <v>32</v>
      </c>
      <c r="E15" s="109">
        <v>34400</v>
      </c>
      <c r="F15" s="116" t="s">
        <v>143</v>
      </c>
    </row>
    <row r="16" spans="1:6" ht="12.75">
      <c r="A16" s="114">
        <v>1215</v>
      </c>
      <c r="B16" s="114" t="s">
        <v>113</v>
      </c>
      <c r="C16" s="115">
        <v>346</v>
      </c>
      <c r="D16" s="115" t="s">
        <v>142</v>
      </c>
      <c r="E16" s="109">
        <v>34600</v>
      </c>
      <c r="F16" s="109"/>
    </row>
    <row r="17" spans="1:6" ht="12.75">
      <c r="A17" s="114">
        <v>1301</v>
      </c>
      <c r="B17" s="114" t="s">
        <v>40</v>
      </c>
      <c r="C17" s="115">
        <v>389</v>
      </c>
      <c r="D17" s="115" t="s">
        <v>6</v>
      </c>
      <c r="E17" s="109">
        <v>38900</v>
      </c>
      <c r="F17" s="109"/>
    </row>
    <row r="18" spans="1:6" ht="12.75">
      <c r="A18" s="114">
        <v>1315</v>
      </c>
      <c r="B18" s="114" t="s">
        <v>114</v>
      </c>
      <c r="C18" s="115">
        <v>390</v>
      </c>
      <c r="D18" s="115" t="s">
        <v>144</v>
      </c>
      <c r="E18" s="109">
        <v>39000</v>
      </c>
      <c r="F18" s="109"/>
    </row>
    <row r="19" spans="1:6" ht="12.75">
      <c r="A19" s="114">
        <v>1379</v>
      </c>
      <c r="B19" s="114" t="s">
        <v>42</v>
      </c>
      <c r="C19" s="115">
        <v>390</v>
      </c>
      <c r="D19" s="115" t="s">
        <v>144</v>
      </c>
      <c r="E19" s="109">
        <v>39000</v>
      </c>
      <c r="F19" s="109"/>
    </row>
    <row r="20" spans="1:6" ht="12.75">
      <c r="A20" s="114">
        <v>1740</v>
      </c>
      <c r="B20" s="114" t="s">
        <v>115</v>
      </c>
      <c r="C20" s="115">
        <v>360</v>
      </c>
      <c r="D20" s="115" t="s">
        <v>6</v>
      </c>
      <c r="E20" s="109">
        <v>36000</v>
      </c>
      <c r="F20" s="109"/>
    </row>
    <row r="21" spans="1:6" ht="12.75">
      <c r="A21" s="114">
        <v>1741</v>
      </c>
      <c r="B21" s="114" t="s">
        <v>116</v>
      </c>
      <c r="C21" s="115">
        <v>362</v>
      </c>
      <c r="D21" s="115" t="s">
        <v>34</v>
      </c>
      <c r="E21" s="109">
        <v>36200</v>
      </c>
      <c r="F21" s="109"/>
    </row>
    <row r="22" spans="1:6" ht="12.75">
      <c r="A22" s="114">
        <v>1744</v>
      </c>
      <c r="B22" s="114" t="s">
        <v>43</v>
      </c>
      <c r="C22" s="115">
        <v>360</v>
      </c>
      <c r="D22" s="115" t="s">
        <v>6</v>
      </c>
      <c r="E22" s="109">
        <v>36000</v>
      </c>
      <c r="F22" s="109"/>
    </row>
    <row r="23" spans="1:6" ht="12.75">
      <c r="A23" s="114">
        <v>1745</v>
      </c>
      <c r="B23" s="114" t="s">
        <v>117</v>
      </c>
      <c r="C23" s="115">
        <v>360.2</v>
      </c>
      <c r="D23" s="115" t="s">
        <v>145</v>
      </c>
      <c r="E23" s="109">
        <v>36020</v>
      </c>
      <c r="F23" s="109"/>
    </row>
    <row r="24" spans="1:6" ht="12.75">
      <c r="A24" s="114">
        <v>1748</v>
      </c>
      <c r="B24" s="114" t="s">
        <v>118</v>
      </c>
      <c r="C24" s="115">
        <v>365</v>
      </c>
      <c r="D24" s="115" t="s">
        <v>146</v>
      </c>
      <c r="E24" s="109">
        <v>36500</v>
      </c>
      <c r="F24" s="109"/>
    </row>
    <row r="25" spans="1:6" ht="12.75">
      <c r="A25" s="114">
        <v>1749</v>
      </c>
      <c r="B25" s="114" t="s">
        <v>44</v>
      </c>
      <c r="C25" s="115">
        <v>364</v>
      </c>
      <c r="D25" s="115" t="s">
        <v>147</v>
      </c>
      <c r="E25" s="109">
        <v>36400</v>
      </c>
      <c r="F25" s="109"/>
    </row>
    <row r="26" spans="1:6" ht="12.75">
      <c r="A26" s="114">
        <v>1750</v>
      </c>
      <c r="B26" s="114" t="s">
        <v>45</v>
      </c>
      <c r="C26" s="115">
        <v>365</v>
      </c>
      <c r="D26" s="115" t="s">
        <v>146</v>
      </c>
      <c r="E26" s="109">
        <v>36500</v>
      </c>
      <c r="F26" s="109"/>
    </row>
    <row r="27" spans="1:6" ht="12.75">
      <c r="A27" s="114">
        <v>1751</v>
      </c>
      <c r="B27" s="114" t="s">
        <v>119</v>
      </c>
      <c r="C27" s="115">
        <v>368.1</v>
      </c>
      <c r="D27" s="115" t="s">
        <v>38</v>
      </c>
      <c r="E27" s="109">
        <v>36810</v>
      </c>
      <c r="F27" s="109"/>
    </row>
    <row r="28" spans="1:6" ht="12.75">
      <c r="A28" s="114">
        <v>1752</v>
      </c>
      <c r="B28" s="114" t="s">
        <v>120</v>
      </c>
      <c r="C28" s="115">
        <v>368.2</v>
      </c>
      <c r="D28" s="115" t="s">
        <v>39</v>
      </c>
      <c r="E28" s="109">
        <v>36820</v>
      </c>
      <c r="F28" s="109"/>
    </row>
    <row r="29" spans="1:6" ht="12.75">
      <c r="A29" s="114">
        <v>1753</v>
      </c>
      <c r="B29" s="114" t="s">
        <v>46</v>
      </c>
      <c r="C29" s="115">
        <v>369.01</v>
      </c>
      <c r="D29" s="115" t="s">
        <v>148</v>
      </c>
      <c r="E29" s="109">
        <v>36901</v>
      </c>
      <c r="F29" s="109"/>
    </row>
    <row r="30" spans="1:6" ht="12.75">
      <c r="A30" s="114">
        <v>1754</v>
      </c>
      <c r="B30" s="114" t="s">
        <v>47</v>
      </c>
      <c r="C30" s="115">
        <v>373</v>
      </c>
      <c r="D30" s="115" t="s">
        <v>149</v>
      </c>
      <c r="E30" s="109">
        <v>37300</v>
      </c>
      <c r="F30" s="109"/>
    </row>
    <row r="31" spans="1:6" ht="12.75">
      <c r="A31" s="114">
        <v>1755</v>
      </c>
      <c r="B31" s="114" t="s">
        <v>48</v>
      </c>
      <c r="C31" s="115">
        <v>367</v>
      </c>
      <c r="D31" s="115" t="s">
        <v>150</v>
      </c>
      <c r="E31" s="109">
        <v>36700</v>
      </c>
      <c r="F31" s="109"/>
    </row>
    <row r="32" spans="1:6" ht="12.75">
      <c r="A32" s="114">
        <v>1756</v>
      </c>
      <c r="B32" s="114" t="s">
        <v>49</v>
      </c>
      <c r="C32" s="115">
        <v>369.02</v>
      </c>
      <c r="D32" s="115" t="s">
        <v>151</v>
      </c>
      <c r="E32" s="109">
        <v>36902</v>
      </c>
      <c r="F32" s="109"/>
    </row>
    <row r="33" spans="1:6" ht="12.75">
      <c r="A33" s="114">
        <v>1757</v>
      </c>
      <c r="B33" s="114" t="s">
        <v>121</v>
      </c>
      <c r="C33" s="115">
        <v>373.2</v>
      </c>
      <c r="D33" s="115" t="s">
        <v>152</v>
      </c>
      <c r="E33" s="109">
        <v>37320</v>
      </c>
      <c r="F33" s="109"/>
    </row>
    <row r="34" spans="1:6" ht="12.75">
      <c r="A34" s="114">
        <v>1758</v>
      </c>
      <c r="B34" s="114" t="s">
        <v>50</v>
      </c>
      <c r="C34" s="115">
        <v>370.1</v>
      </c>
      <c r="D34" s="115" t="s">
        <v>153</v>
      </c>
      <c r="E34" s="109">
        <v>37010</v>
      </c>
      <c r="F34" s="109"/>
    </row>
    <row r="35" spans="1:6" ht="12.75">
      <c r="A35" s="114">
        <v>1759</v>
      </c>
      <c r="B35" s="114" t="s">
        <v>122</v>
      </c>
      <c r="C35" s="115">
        <v>370.2</v>
      </c>
      <c r="D35" s="115" t="s">
        <v>154</v>
      </c>
      <c r="E35" s="109">
        <v>37020</v>
      </c>
      <c r="F35" s="109"/>
    </row>
    <row r="36" spans="1:6" ht="12.75">
      <c r="A36" s="114">
        <v>1760</v>
      </c>
      <c r="B36" s="114" t="s">
        <v>123</v>
      </c>
      <c r="C36" s="115">
        <v>397</v>
      </c>
      <c r="D36" s="115" t="s">
        <v>155</v>
      </c>
      <c r="E36" s="109">
        <v>39700</v>
      </c>
      <c r="F36" s="109"/>
    </row>
    <row r="37" spans="1:6" ht="12.75">
      <c r="A37" s="114">
        <v>1761</v>
      </c>
      <c r="B37" s="114" t="s">
        <v>124</v>
      </c>
      <c r="C37" s="115">
        <v>394</v>
      </c>
      <c r="D37" s="115" t="s">
        <v>156</v>
      </c>
      <c r="E37" s="109">
        <v>39400</v>
      </c>
      <c r="F37" s="109"/>
    </row>
    <row r="38" spans="1:6" ht="12.75">
      <c r="A38" s="114">
        <v>1762</v>
      </c>
      <c r="B38" s="114" t="s">
        <v>51</v>
      </c>
      <c r="C38" s="115">
        <v>394</v>
      </c>
      <c r="D38" s="115" t="s">
        <v>156</v>
      </c>
      <c r="E38" s="109">
        <v>39400</v>
      </c>
      <c r="F38" s="109"/>
    </row>
    <row r="39" spans="1:6" ht="12.75">
      <c r="A39" s="114">
        <v>1763</v>
      </c>
      <c r="B39" s="114" t="s">
        <v>125</v>
      </c>
      <c r="C39" s="115">
        <v>397.5</v>
      </c>
      <c r="D39" s="115" t="s">
        <v>157</v>
      </c>
      <c r="E39" s="109">
        <v>39750</v>
      </c>
      <c r="F39" s="109"/>
    </row>
    <row r="40" spans="1:6" ht="12.75">
      <c r="A40" s="114">
        <v>1777</v>
      </c>
      <c r="B40" s="114" t="s">
        <v>126</v>
      </c>
      <c r="C40" s="115">
        <v>389</v>
      </c>
      <c r="D40" s="115" t="s">
        <v>6</v>
      </c>
      <c r="E40" s="109">
        <v>38900</v>
      </c>
      <c r="F40" s="109"/>
    </row>
    <row r="41" spans="1:6" ht="12.75">
      <c r="A41" s="114">
        <v>1778</v>
      </c>
      <c r="B41" s="114" t="s">
        <v>127</v>
      </c>
      <c r="C41" s="115">
        <v>390.11</v>
      </c>
      <c r="D41" s="115" t="s">
        <v>158</v>
      </c>
      <c r="E41" s="109">
        <v>39011</v>
      </c>
      <c r="F41" s="109"/>
    </row>
    <row r="42" spans="1:6" ht="12.75">
      <c r="A42" s="114">
        <v>1779</v>
      </c>
      <c r="B42" s="114" t="s">
        <v>128</v>
      </c>
      <c r="C42" s="115">
        <v>390.12</v>
      </c>
      <c r="D42" s="115" t="s">
        <v>159</v>
      </c>
      <c r="E42" s="109">
        <v>39012</v>
      </c>
      <c r="F42" s="109"/>
    </row>
    <row r="43" spans="1:6" ht="12.75">
      <c r="A43" s="114">
        <v>1780</v>
      </c>
      <c r="B43" s="114" t="s">
        <v>52</v>
      </c>
      <c r="C43" s="115">
        <v>391.12</v>
      </c>
      <c r="D43" s="115" t="s">
        <v>160</v>
      </c>
      <c r="E43" s="109">
        <v>39112</v>
      </c>
      <c r="F43" s="109"/>
    </row>
    <row r="44" spans="1:6" ht="12.75">
      <c r="A44" s="114">
        <v>1781</v>
      </c>
      <c r="B44" s="114" t="s">
        <v>53</v>
      </c>
      <c r="C44" s="115">
        <v>392</v>
      </c>
      <c r="D44" s="115" t="s">
        <v>35</v>
      </c>
      <c r="E44" s="109">
        <v>39200</v>
      </c>
      <c r="F44" s="109"/>
    </row>
    <row r="45" spans="1:6" ht="12.75">
      <c r="A45" s="114">
        <v>1784</v>
      </c>
      <c r="B45" s="114" t="s">
        <v>54</v>
      </c>
      <c r="C45" s="115">
        <v>391.3</v>
      </c>
      <c r="D45" s="115" t="s">
        <v>161</v>
      </c>
      <c r="E45" s="109">
        <v>39130</v>
      </c>
      <c r="F45" s="109"/>
    </row>
    <row r="46" spans="1:6" ht="12.75">
      <c r="A46" s="114">
        <v>1785</v>
      </c>
      <c r="B46" s="114" t="s">
        <v>55</v>
      </c>
      <c r="C46" s="115">
        <v>391.4</v>
      </c>
      <c r="D46" s="115" t="s">
        <v>162</v>
      </c>
      <c r="E46" s="109">
        <v>39140</v>
      </c>
      <c r="F46" s="109"/>
    </row>
    <row r="47" spans="1:6" ht="12.75">
      <c r="A47" s="114">
        <v>1840</v>
      </c>
      <c r="B47" s="114" t="s">
        <v>129</v>
      </c>
      <c r="C47" s="115">
        <v>350</v>
      </c>
      <c r="D47" s="115" t="s">
        <v>6</v>
      </c>
      <c r="E47" s="109">
        <v>35000</v>
      </c>
      <c r="F47" s="109"/>
    </row>
    <row r="48" spans="1:6" ht="12.75">
      <c r="A48" s="114">
        <v>1841</v>
      </c>
      <c r="B48" s="114" t="s">
        <v>130</v>
      </c>
      <c r="C48" s="115">
        <v>353</v>
      </c>
      <c r="D48" s="115" t="s">
        <v>34</v>
      </c>
      <c r="E48" s="109">
        <v>35300</v>
      </c>
      <c r="F48" s="109"/>
    </row>
    <row r="49" spans="1:6" ht="12.75">
      <c r="A49" s="114">
        <v>1844</v>
      </c>
      <c r="B49" s="114" t="s">
        <v>57</v>
      </c>
      <c r="C49" s="115">
        <v>350</v>
      </c>
      <c r="D49" s="115" t="s">
        <v>6</v>
      </c>
      <c r="E49" s="109">
        <v>35000</v>
      </c>
      <c r="F49" s="109"/>
    </row>
    <row r="50" spans="1:6" ht="12.75">
      <c r="A50" s="114">
        <v>1845</v>
      </c>
      <c r="B50" s="114" t="s">
        <v>131</v>
      </c>
      <c r="C50" s="115">
        <v>350.2</v>
      </c>
      <c r="D50" s="115" t="s">
        <v>163</v>
      </c>
      <c r="E50" s="109">
        <v>35020</v>
      </c>
      <c r="F50" s="109"/>
    </row>
    <row r="51" spans="1:6" ht="12.75">
      <c r="A51" s="114">
        <v>1846</v>
      </c>
      <c r="B51" s="114" t="s">
        <v>164</v>
      </c>
      <c r="C51" s="115">
        <v>359</v>
      </c>
      <c r="D51" s="115" t="s">
        <v>164</v>
      </c>
      <c r="E51" s="109">
        <v>35900</v>
      </c>
      <c r="F51" s="109"/>
    </row>
    <row r="52" spans="1:6" ht="12.75">
      <c r="A52" s="114">
        <v>1847</v>
      </c>
      <c r="B52" s="114" t="s">
        <v>58</v>
      </c>
      <c r="C52" s="115">
        <v>354</v>
      </c>
      <c r="D52" s="115" t="s">
        <v>165</v>
      </c>
      <c r="E52" s="109">
        <v>35400</v>
      </c>
      <c r="F52" s="109"/>
    </row>
    <row r="53" spans="1:6" ht="12.75">
      <c r="A53" s="114">
        <v>1848</v>
      </c>
      <c r="B53" s="114" t="s">
        <v>132</v>
      </c>
      <c r="C53" s="115">
        <v>356</v>
      </c>
      <c r="D53" s="115" t="s">
        <v>146</v>
      </c>
      <c r="E53" s="109">
        <v>35600</v>
      </c>
      <c r="F53" s="109"/>
    </row>
    <row r="54" spans="1:6" ht="12.75">
      <c r="A54" s="114">
        <v>1849</v>
      </c>
      <c r="B54" s="114" t="s">
        <v>59</v>
      </c>
      <c r="C54" s="115">
        <v>355</v>
      </c>
      <c r="D54" s="115" t="s">
        <v>166</v>
      </c>
      <c r="E54" s="109">
        <v>35500</v>
      </c>
      <c r="F54" s="109"/>
    </row>
    <row r="55" spans="1:6" ht="12.75">
      <c r="A55" s="114">
        <v>1850</v>
      </c>
      <c r="B55" s="114" t="s">
        <v>60</v>
      </c>
      <c r="C55" s="115">
        <v>356</v>
      </c>
      <c r="D55" s="115" t="s">
        <v>146</v>
      </c>
      <c r="E55" s="109">
        <v>35600</v>
      </c>
      <c r="F55" s="109"/>
    </row>
    <row r="56" spans="1:6" ht="12.75">
      <c r="A56" s="111">
        <v>1855</v>
      </c>
      <c r="B56" s="111" t="s">
        <v>61</v>
      </c>
      <c r="C56" s="109"/>
      <c r="D56" s="109"/>
      <c r="E56" s="109">
        <v>0</v>
      </c>
      <c r="F56" s="109"/>
    </row>
    <row r="57" spans="1:6" ht="12.75">
      <c r="A57" s="111">
        <v>1877</v>
      </c>
      <c r="B57" s="111" t="s">
        <v>133</v>
      </c>
      <c r="C57" s="109">
        <v>350</v>
      </c>
      <c r="D57" s="109" t="s">
        <v>6</v>
      </c>
      <c r="E57" s="109">
        <v>35000</v>
      </c>
      <c r="F57" s="10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3"/>
  <sheetViews>
    <sheetView tabSelected="1" showOutlineSymbols="0" zoomScaleSheetLayoutView="75" zoomScalePageLayoutView="0" workbookViewId="0" topLeftCell="E1">
      <pane ySplit="9" topLeftCell="A24" activePane="bottomLeft" state="frozen"/>
      <selection pane="topLeft" activeCell="AF35" sqref="AF35"/>
      <selection pane="bottomLeft" activeCell="AF35" sqref="AF35"/>
    </sheetView>
  </sheetViews>
  <sheetFormatPr defaultColWidth="8.8515625" defaultRowHeight="12.75" customHeight="1" outlineLevelRow="1" outlineLevelCol="1"/>
  <cols>
    <col min="1" max="1" width="9.00390625" style="25" hidden="1" customWidth="1" outlineLevel="1"/>
    <col min="2" max="2" width="2.28125" style="25" hidden="1" customWidth="1" outlineLevel="1"/>
    <col min="3" max="3" width="14.28125" style="25" hidden="1" customWidth="1" outlineLevel="1"/>
    <col min="4" max="4" width="3.140625" style="25" hidden="1" customWidth="1" outlineLevel="1"/>
    <col min="5" max="5" width="2.57421875" style="28" customWidth="1" collapsed="1"/>
    <col min="6" max="6" width="7.00390625" style="26" customWidth="1"/>
    <col min="7" max="7" width="0.85546875" style="26" customWidth="1"/>
    <col min="8" max="8" width="24.8515625" style="25" customWidth="1"/>
    <col min="9" max="9" width="1.1484375" style="25" customWidth="1"/>
    <col min="10" max="10" width="15.57421875" style="23" customWidth="1"/>
    <col min="11" max="11" width="2.28125" style="25" customWidth="1"/>
    <col min="12" max="12" width="15.57421875" style="25" customWidth="1"/>
    <col min="13" max="13" width="2.28125" style="25" customWidth="1"/>
    <col min="14" max="14" width="15.57421875" style="25" customWidth="1"/>
    <col min="15" max="15" width="2.28125" style="25" customWidth="1"/>
    <col min="16" max="16" width="15.57421875" style="25" customWidth="1"/>
    <col min="17" max="17" width="2.28125" style="25" customWidth="1"/>
    <col min="18" max="18" width="18.28125" style="23" bestFit="1" customWidth="1"/>
    <col min="19" max="19" width="2.28125" style="25" customWidth="1"/>
    <col min="20" max="20" width="15.57421875" style="24" customWidth="1"/>
    <col min="21" max="21" width="2.28125" style="25" customWidth="1"/>
    <col min="22" max="22" width="15.57421875" style="24" customWidth="1"/>
    <col min="23" max="23" width="2.7109375" style="24" customWidth="1"/>
    <col min="24" max="24" width="9.8515625" style="25" bestFit="1" customWidth="1"/>
    <col min="25" max="25" width="10.8515625" style="25" bestFit="1" customWidth="1"/>
    <col min="26" max="16384" width="8.8515625" style="25" customWidth="1"/>
  </cols>
  <sheetData>
    <row r="1" spans="5:23" ht="12.75" customHeight="1">
      <c r="E1" s="129" t="s">
        <v>442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5:23" ht="12.75" customHeight="1"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  <c r="W2" s="107"/>
    </row>
    <row r="3" spans="5:23" ht="12.75" customHeight="1">
      <c r="E3" s="108" t="s">
        <v>443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5:23" ht="12.75" customHeight="1">
      <c r="E4" s="130" t="s">
        <v>321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5:20" ht="12.75" customHeight="1">
      <c r="E5" s="141"/>
      <c r="F5" s="142"/>
      <c r="G5" s="141"/>
      <c r="H5" s="143"/>
      <c r="I5" s="1"/>
      <c r="J5" s="29"/>
      <c r="K5" s="20"/>
      <c r="L5" s="20"/>
      <c r="M5" s="20"/>
      <c r="N5" s="20"/>
      <c r="O5" s="20"/>
      <c r="P5" s="20"/>
      <c r="Q5" s="20"/>
      <c r="R5" s="33"/>
      <c r="S5" s="1"/>
      <c r="T5" s="5"/>
    </row>
    <row r="6" spans="5:23" ht="12.75" customHeight="1">
      <c r="E6" s="133"/>
      <c r="F6" s="144"/>
      <c r="G6" s="133"/>
      <c r="H6" s="133"/>
      <c r="I6" s="3"/>
      <c r="J6" s="32"/>
      <c r="K6" s="17"/>
      <c r="L6" s="17"/>
      <c r="M6" s="17"/>
      <c r="N6" s="17"/>
      <c r="O6" s="17"/>
      <c r="P6" s="17"/>
      <c r="Q6" s="17"/>
      <c r="R6" s="32"/>
      <c r="S6" s="3"/>
      <c r="W6" s="48"/>
    </row>
    <row r="7" spans="5:23" ht="12.75" customHeight="1">
      <c r="E7" s="352"/>
      <c r="F7" s="353"/>
      <c r="G7" s="352"/>
      <c r="H7" s="352"/>
      <c r="I7" s="354"/>
      <c r="J7" s="355" t="s">
        <v>173</v>
      </c>
      <c r="K7" s="356"/>
      <c r="L7" s="355" t="s">
        <v>444</v>
      </c>
      <c r="M7" s="356"/>
      <c r="N7" s="356" t="s">
        <v>185</v>
      </c>
      <c r="O7" s="356"/>
      <c r="P7" s="356" t="s">
        <v>314</v>
      </c>
      <c r="Q7" s="356"/>
      <c r="R7" s="355" t="s">
        <v>462</v>
      </c>
      <c r="S7" s="354"/>
      <c r="T7" s="390" t="s">
        <v>288</v>
      </c>
      <c r="U7" s="390"/>
      <c r="V7" s="390"/>
      <c r="W7" s="38"/>
    </row>
    <row r="8" spans="3:23" ht="14.25">
      <c r="C8" s="150" t="s">
        <v>271</v>
      </c>
      <c r="E8" s="357" t="s">
        <v>180</v>
      </c>
      <c r="F8" s="358"/>
      <c r="G8" s="357"/>
      <c r="H8" s="357"/>
      <c r="I8" s="354"/>
      <c r="J8" s="359" t="s">
        <v>463</v>
      </c>
      <c r="K8" s="360"/>
      <c r="L8" s="361" t="s">
        <v>464</v>
      </c>
      <c r="M8" s="360"/>
      <c r="N8" s="362" t="s">
        <v>186</v>
      </c>
      <c r="O8" s="360"/>
      <c r="P8" s="362" t="s">
        <v>445</v>
      </c>
      <c r="Q8" s="360"/>
      <c r="R8" s="355" t="s">
        <v>186</v>
      </c>
      <c r="S8" s="354"/>
      <c r="T8" s="363" t="s">
        <v>186</v>
      </c>
      <c r="U8" s="364"/>
      <c r="V8" s="365" t="s">
        <v>183</v>
      </c>
      <c r="W8" s="38"/>
    </row>
    <row r="9" spans="5:23" ht="12.75" customHeight="1">
      <c r="E9" s="366"/>
      <c r="F9" s="367"/>
      <c r="G9" s="366"/>
      <c r="H9" s="366"/>
      <c r="I9" s="354"/>
      <c r="J9" s="368" t="s">
        <v>446</v>
      </c>
      <c r="K9" s="356"/>
      <c r="L9" s="356" t="s">
        <v>447</v>
      </c>
      <c r="M9" s="356"/>
      <c r="N9" s="356" t="s">
        <v>448</v>
      </c>
      <c r="O9" s="356"/>
      <c r="P9" s="356" t="s">
        <v>449</v>
      </c>
      <c r="Q9" s="356"/>
      <c r="R9" s="369" t="s">
        <v>450</v>
      </c>
      <c r="S9" s="354"/>
      <c r="T9" s="370" t="s">
        <v>451</v>
      </c>
      <c r="U9" s="370"/>
      <c r="V9" s="371" t="s">
        <v>452</v>
      </c>
      <c r="W9" s="41"/>
    </row>
    <row r="10" spans="5:23" ht="12.75" customHeight="1">
      <c r="E10" s="30" t="s">
        <v>12</v>
      </c>
      <c r="F10" s="145"/>
      <c r="G10" s="122"/>
      <c r="H10" s="122"/>
      <c r="I10" s="6"/>
      <c r="J10" s="39"/>
      <c r="K10" s="17"/>
      <c r="L10" s="17"/>
      <c r="M10" s="17"/>
      <c r="N10" s="17"/>
      <c r="O10" s="17"/>
      <c r="P10" s="17"/>
      <c r="Q10" s="17"/>
      <c r="R10" s="40"/>
      <c r="S10" s="6"/>
      <c r="T10" s="21"/>
      <c r="V10" s="41"/>
      <c r="W10" s="41"/>
    </row>
    <row r="11" spans="5:23" ht="12.75" customHeight="1">
      <c r="E11" s="30"/>
      <c r="F11" s="145"/>
      <c r="G11" s="122"/>
      <c r="H11" s="122"/>
      <c r="I11" s="6"/>
      <c r="J11" s="39"/>
      <c r="K11" s="17"/>
      <c r="L11" s="17"/>
      <c r="M11" s="17"/>
      <c r="N11" s="17"/>
      <c r="O11" s="17"/>
      <c r="P11" s="17"/>
      <c r="Q11" s="17"/>
      <c r="R11" s="40"/>
      <c r="S11" s="6"/>
      <c r="T11" s="21"/>
      <c r="V11" s="41"/>
      <c r="W11" s="41"/>
    </row>
    <row r="12" spans="5:23" ht="14.25">
      <c r="E12" s="27" t="s">
        <v>455</v>
      </c>
      <c r="F12" s="145"/>
      <c r="G12" s="122"/>
      <c r="H12" s="122"/>
      <c r="I12" s="6"/>
      <c r="J12" s="92">
        <f>Table1!R27</f>
        <v>60749618.14</v>
      </c>
      <c r="K12" s="218"/>
      <c r="L12" s="346">
        <f>N12/J12</f>
        <v>0.04528151919672297</v>
      </c>
      <c r="M12" s="218"/>
      <c r="N12" s="381">
        <v>2750835</v>
      </c>
      <c r="O12" s="373">
        <v>3</v>
      </c>
      <c r="P12" s="327">
        <f>Table1!V27</f>
        <v>5.09</v>
      </c>
      <c r="Q12" s="218"/>
      <c r="R12" s="92">
        <f>Table1!T27</f>
        <v>3089585</v>
      </c>
      <c r="S12" s="209"/>
      <c r="T12" s="387">
        <f>R12-N12</f>
        <v>338750</v>
      </c>
      <c r="U12" s="124"/>
      <c r="V12" s="350">
        <f>T12/N12</f>
        <v>0.12314442705578488</v>
      </c>
      <c r="W12" s="41"/>
    </row>
    <row r="13" spans="5:23" ht="12.75" customHeight="1">
      <c r="E13" s="27"/>
      <c r="F13" s="145"/>
      <c r="G13" s="122"/>
      <c r="H13" s="122"/>
      <c r="I13" s="6"/>
      <c r="J13" s="92"/>
      <c r="K13" s="218"/>
      <c r="L13" s="346"/>
      <c r="M13" s="218"/>
      <c r="N13" s="381"/>
      <c r="O13" s="218"/>
      <c r="P13" s="218"/>
      <c r="Q13" s="218"/>
      <c r="R13" s="92"/>
      <c r="S13" s="209"/>
      <c r="T13" s="387"/>
      <c r="U13" s="124"/>
      <c r="V13" s="350"/>
      <c r="W13" s="41"/>
    </row>
    <row r="14" spans="1:23" s="31" customFormat="1" ht="12.75" customHeight="1">
      <c r="A14" s="25"/>
      <c r="E14" s="55" t="s">
        <v>427</v>
      </c>
      <c r="F14" s="165"/>
      <c r="G14" s="193"/>
      <c r="H14" s="62"/>
      <c r="I14" s="131"/>
      <c r="J14" s="92">
        <f>Table1!R35</f>
        <v>13666966.340000002</v>
      </c>
      <c r="K14" s="218"/>
      <c r="L14" s="346">
        <f>N14/J14</f>
        <v>0.04813589889912613</v>
      </c>
      <c r="M14" s="218"/>
      <c r="N14" s="381">
        <f>'Table 4 - Impact'!T35</f>
        <v>657871.71</v>
      </c>
      <c r="O14" s="218"/>
      <c r="P14" s="327">
        <f>Table1!V35</f>
        <v>4.12</v>
      </c>
      <c r="Q14" s="218"/>
      <c r="R14" s="92">
        <f>Table1!T35</f>
        <v>562811</v>
      </c>
      <c r="S14" s="209"/>
      <c r="T14" s="387">
        <f aca="true" t="shared" si="0" ref="T14:T36">R14-N14</f>
        <v>-95060.70999999996</v>
      </c>
      <c r="U14" s="124"/>
      <c r="V14" s="350">
        <f aca="true" t="shared" si="1" ref="V14:V36">T14/N14</f>
        <v>-0.1444973367223831</v>
      </c>
      <c r="W14" s="166"/>
    </row>
    <row r="15" spans="1:23" s="31" customFormat="1" ht="12.75" customHeight="1">
      <c r="A15" s="25"/>
      <c r="E15" s="55"/>
      <c r="F15" s="53"/>
      <c r="G15" s="53"/>
      <c r="H15" s="62"/>
      <c r="J15" s="92"/>
      <c r="K15" s="17"/>
      <c r="L15" s="346"/>
      <c r="M15" s="17"/>
      <c r="N15" s="381"/>
      <c r="O15" s="17"/>
      <c r="P15" s="17"/>
      <c r="Q15" s="17"/>
      <c r="R15" s="92"/>
      <c r="S15" s="6"/>
      <c r="T15" s="387"/>
      <c r="U15" s="25"/>
      <c r="V15" s="350"/>
      <c r="W15" s="73"/>
    </row>
    <row r="16" spans="1:23" s="31" customFormat="1" ht="12.75" customHeight="1">
      <c r="A16" s="95" t="s">
        <v>91</v>
      </c>
      <c r="B16" s="25"/>
      <c r="C16" s="91" t="s">
        <v>67</v>
      </c>
      <c r="E16" s="55" t="s">
        <v>428</v>
      </c>
      <c r="F16" s="53"/>
      <c r="G16" s="53"/>
      <c r="H16" s="51"/>
      <c r="J16" s="92">
        <f>Table1!R38</f>
        <v>35297120.5</v>
      </c>
      <c r="K16" s="17"/>
      <c r="L16" s="346">
        <f>N16/J16</f>
        <v>0.022800000073660398</v>
      </c>
      <c r="M16" s="17"/>
      <c r="N16" s="381">
        <f>'Table 4 - Impact'!T38</f>
        <v>804774.35</v>
      </c>
      <c r="O16" s="17"/>
      <c r="P16" s="327">
        <f>Table1!V38</f>
        <v>2.34</v>
      </c>
      <c r="Q16" s="17"/>
      <c r="R16" s="92">
        <f>Table1!T38</f>
        <v>824633</v>
      </c>
      <c r="S16" s="6"/>
      <c r="T16" s="387">
        <f t="shared" si="0"/>
        <v>19858.650000000023</v>
      </c>
      <c r="V16" s="350">
        <f t="shared" si="1"/>
        <v>0.024676047391420992</v>
      </c>
      <c r="W16" s="73"/>
    </row>
    <row r="17" spans="1:23" s="31" customFormat="1" ht="12.75" customHeight="1">
      <c r="A17" s="25"/>
      <c r="E17" s="55"/>
      <c r="F17" s="53"/>
      <c r="G17" s="53"/>
      <c r="H17" s="51"/>
      <c r="J17" s="189"/>
      <c r="N17" s="381"/>
      <c r="R17" s="189"/>
      <c r="T17" s="387"/>
      <c r="V17" s="350"/>
      <c r="W17" s="58"/>
    </row>
    <row r="18" spans="5:23" s="31" customFormat="1" ht="12.75" customHeight="1">
      <c r="E18" s="55" t="s">
        <v>454</v>
      </c>
      <c r="F18" s="53"/>
      <c r="G18" s="53"/>
      <c r="J18" s="189"/>
      <c r="N18" s="381"/>
      <c r="R18" s="189"/>
      <c r="T18" s="387"/>
      <c r="V18" s="350"/>
      <c r="W18" s="58"/>
    </row>
    <row r="19" spans="5:31" s="31" customFormat="1" ht="12.75" customHeight="1">
      <c r="E19" s="131" t="s">
        <v>166</v>
      </c>
      <c r="F19" s="55"/>
      <c r="G19" s="54"/>
      <c r="H19" s="55"/>
      <c r="I19" s="55"/>
      <c r="J19" s="329">
        <f>Table1!R46</f>
        <v>22861633.71</v>
      </c>
      <c r="K19" s="55"/>
      <c r="L19" s="55"/>
      <c r="M19" s="55"/>
      <c r="N19" s="381">
        <f>'Table 4 - Impact'!T46</f>
        <v>685849.01</v>
      </c>
      <c r="O19" s="55"/>
      <c r="P19" s="328"/>
      <c r="Q19" s="55"/>
      <c r="R19" s="329">
        <f>Table1!T46</f>
        <v>746204</v>
      </c>
      <c r="S19" s="55"/>
      <c r="T19" s="387">
        <f t="shared" si="0"/>
        <v>60354.98999999999</v>
      </c>
      <c r="U19" s="55"/>
      <c r="V19" s="350">
        <f t="shared" si="1"/>
        <v>0.08800040405394766</v>
      </c>
      <c r="W19" s="50"/>
      <c r="X19" s="55"/>
      <c r="Y19" s="55"/>
      <c r="Z19" s="55"/>
      <c r="AA19" s="55"/>
      <c r="AB19" s="55"/>
      <c r="AC19" s="55"/>
      <c r="AD19" s="55"/>
      <c r="AE19" s="55"/>
    </row>
    <row r="20" spans="5:31" s="31" customFormat="1" ht="12.75" customHeight="1">
      <c r="E20" s="131" t="s">
        <v>146</v>
      </c>
      <c r="F20" s="55"/>
      <c r="G20" s="54"/>
      <c r="H20" s="55"/>
      <c r="I20" s="55"/>
      <c r="J20" s="329">
        <f>Table1!R47</f>
        <v>45621954.93</v>
      </c>
      <c r="K20" s="55"/>
      <c r="L20" s="55"/>
      <c r="M20" s="55"/>
      <c r="N20" s="381">
        <f>'Table 4 - Impact'!T47</f>
        <v>1122300.09</v>
      </c>
      <c r="O20" s="55"/>
      <c r="P20" s="55"/>
      <c r="Q20" s="55"/>
      <c r="R20" s="329">
        <f>Table1!T47</f>
        <v>1295207</v>
      </c>
      <c r="S20" s="55"/>
      <c r="T20" s="387">
        <f t="shared" si="0"/>
        <v>172906.90999999992</v>
      </c>
      <c r="U20" s="55"/>
      <c r="V20" s="350">
        <f t="shared" si="1"/>
        <v>0.15406477424411497</v>
      </c>
      <c r="W20" s="50"/>
      <c r="X20" s="55"/>
      <c r="Y20" s="55"/>
      <c r="Z20" s="55"/>
      <c r="AA20" s="55"/>
      <c r="AB20" s="55"/>
      <c r="AC20" s="55"/>
      <c r="AD20" s="55"/>
      <c r="AE20" s="55"/>
    </row>
    <row r="21" spans="5:31" s="31" customFormat="1" ht="12.75" customHeight="1">
      <c r="E21" s="131" t="s">
        <v>453</v>
      </c>
      <c r="F21" s="55"/>
      <c r="G21" s="54"/>
      <c r="H21" s="55"/>
      <c r="I21" s="55"/>
      <c r="J21" s="330">
        <f>Table1!R43+Table1!R44+Table1!R45+Table1!R48</f>
        <v>55711014.97</v>
      </c>
      <c r="K21" s="331"/>
      <c r="L21" s="331"/>
      <c r="M21" s="331"/>
      <c r="N21" s="382">
        <f>'Table 4 - Impact'!T43+'Table 4 - Impact'!T44+'Table 4 - Impact'!T45+'Table 4 - Impact'!T48</f>
        <v>1023396.57</v>
      </c>
      <c r="O21" s="331"/>
      <c r="P21" s="331"/>
      <c r="Q21" s="331"/>
      <c r="R21" s="330">
        <f>Table1!T43+Table1!T44+Table1!T45+Table1!T48</f>
        <v>1007086</v>
      </c>
      <c r="S21" s="331"/>
      <c r="T21" s="388">
        <f t="shared" si="0"/>
        <v>-16310.569999999949</v>
      </c>
      <c r="U21" s="331"/>
      <c r="V21" s="351">
        <f t="shared" si="1"/>
        <v>-0.015937682886703393</v>
      </c>
      <c r="W21" s="50"/>
      <c r="X21" s="55"/>
      <c r="Y21" s="55"/>
      <c r="Z21" s="55"/>
      <c r="AA21" s="55"/>
      <c r="AB21" s="55"/>
      <c r="AC21" s="55"/>
      <c r="AD21" s="55"/>
      <c r="AE21" s="55"/>
    </row>
    <row r="22" spans="5:31" s="31" customFormat="1" ht="12.75" customHeight="1">
      <c r="E22" s="55" t="s">
        <v>429</v>
      </c>
      <c r="F22" s="55"/>
      <c r="G22" s="54"/>
      <c r="H22" s="55"/>
      <c r="I22" s="55"/>
      <c r="J22" s="329">
        <f>SUM(J19:J21)</f>
        <v>124194603.61</v>
      </c>
      <c r="K22" s="55"/>
      <c r="L22" s="346">
        <f>N22/J22-0.01%</f>
        <v>0.022699264925324078</v>
      </c>
      <c r="M22" s="55"/>
      <c r="N22" s="381">
        <f>SUM(N19:N21)</f>
        <v>2831545.67</v>
      </c>
      <c r="O22" s="55"/>
      <c r="P22" s="333">
        <f>Table1!V49</f>
        <v>2.45</v>
      </c>
      <c r="Q22" s="55"/>
      <c r="R22" s="329">
        <f>SUM(R19:R21)</f>
        <v>3048497</v>
      </c>
      <c r="S22" s="55"/>
      <c r="T22" s="387">
        <f t="shared" si="0"/>
        <v>216951.33000000007</v>
      </c>
      <c r="U22" s="55"/>
      <c r="V22" s="350">
        <f t="shared" si="1"/>
        <v>0.07661939989122622</v>
      </c>
      <c r="W22" s="50"/>
      <c r="X22" s="55"/>
      <c r="Y22" s="55"/>
      <c r="Z22" s="55"/>
      <c r="AA22" s="55"/>
      <c r="AB22" s="55"/>
      <c r="AC22" s="55"/>
      <c r="AD22" s="55"/>
      <c r="AE22" s="55"/>
    </row>
    <row r="23" spans="5:23" s="31" customFormat="1" ht="12.75" customHeight="1">
      <c r="E23" s="55"/>
      <c r="F23" s="53"/>
      <c r="G23" s="53"/>
      <c r="J23" s="182"/>
      <c r="N23" s="383"/>
      <c r="R23" s="182"/>
      <c r="T23" s="387"/>
      <c r="V23" s="350"/>
      <c r="W23" s="58"/>
    </row>
    <row r="24" spans="1:23" s="31" customFormat="1" ht="12.75" customHeight="1">
      <c r="A24" s="25"/>
      <c r="E24" s="54" t="s">
        <v>456</v>
      </c>
      <c r="G24" s="53"/>
      <c r="J24" s="182"/>
      <c r="N24" s="383"/>
      <c r="R24" s="182"/>
      <c r="T24" s="387"/>
      <c r="V24" s="350"/>
      <c r="W24" s="58"/>
    </row>
    <row r="25" spans="1:23" s="31" customFormat="1" ht="12.75" customHeight="1">
      <c r="A25" s="25"/>
      <c r="C25" s="163"/>
      <c r="E25" s="131" t="s">
        <v>38</v>
      </c>
      <c r="F25" s="53"/>
      <c r="G25" s="53"/>
      <c r="H25" s="51"/>
      <c r="J25" s="92">
        <f>Table1!R57</f>
        <v>69024149.65</v>
      </c>
      <c r="K25" s="17"/>
      <c r="L25" s="17"/>
      <c r="M25" s="17"/>
      <c r="N25" s="381">
        <f>'Table 4 - Impact'!T57</f>
        <v>2270894.52</v>
      </c>
      <c r="O25" s="17"/>
      <c r="P25" s="17"/>
      <c r="Q25" s="17"/>
      <c r="R25" s="92">
        <f>Table1!T57</f>
        <v>2435172</v>
      </c>
      <c r="S25" s="6"/>
      <c r="T25" s="387">
        <f t="shared" si="0"/>
        <v>164277.47999999998</v>
      </c>
      <c r="U25" s="25"/>
      <c r="V25" s="350">
        <f t="shared" si="1"/>
        <v>0.07234042733081235</v>
      </c>
      <c r="W25" s="73"/>
    </row>
    <row r="26" spans="1:23" s="31" customFormat="1" ht="14.25">
      <c r="A26" s="25"/>
      <c r="E26" s="131" t="s">
        <v>148</v>
      </c>
      <c r="F26" s="53"/>
      <c r="G26" s="53"/>
      <c r="H26" s="51"/>
      <c r="J26" s="92">
        <f>Table1!R59</f>
        <v>67238249.06</v>
      </c>
      <c r="K26" s="17"/>
      <c r="L26" s="17"/>
      <c r="M26" s="17"/>
      <c r="N26" s="381">
        <f>'Table 4 - Impact'!T59</f>
        <v>2097833.37</v>
      </c>
      <c r="O26" s="373">
        <v>4</v>
      </c>
      <c r="P26" s="17"/>
      <c r="Q26" s="17"/>
      <c r="R26" s="92">
        <f>Table1!T59</f>
        <v>2334512</v>
      </c>
      <c r="S26" s="6"/>
      <c r="T26" s="387">
        <f>R26-N26</f>
        <v>236678.6299999999</v>
      </c>
      <c r="U26" s="373"/>
      <c r="V26" s="374">
        <f t="shared" si="1"/>
        <v>0.11282050966707612</v>
      </c>
      <c r="W26" s="73"/>
    </row>
    <row r="27" spans="1:23" s="31" customFormat="1" ht="12.75">
      <c r="A27" s="25"/>
      <c r="E27" s="131" t="s">
        <v>453</v>
      </c>
      <c r="F27" s="53"/>
      <c r="G27" s="53"/>
      <c r="H27" s="51"/>
      <c r="J27" s="179">
        <f>Table1!R52+Table1!R53+Table1!R54+Table1!R55+Table1!R56+Table1!R58+Table1!R60+Table1!R61+Table1!R62+Table1!R63+Table1!R64</f>
        <v>212418610.93</v>
      </c>
      <c r="K27" s="334"/>
      <c r="L27" s="334"/>
      <c r="M27" s="334"/>
      <c r="N27" s="382">
        <f>'Table 4 - Impact'!T52+'Table 4 - Impact'!T53+'Table 4 - Impact'!T54+'Table 4 - Impact'!T55+'Table 4 - Impact'!T56+'Table 4 - Impact'!T58+'Table 4 - Impact'!T60+'Table 4 - Impact'!T61+'Table 4 - Impact'!T62+'Table 4 - Impact'!T63+'Table 4 - Impact'!T64+1</f>
        <v>7245401.230000001</v>
      </c>
      <c r="O27" s="334"/>
      <c r="P27" s="334"/>
      <c r="Q27" s="334"/>
      <c r="R27" s="179">
        <f>Table1!T52+Table1!T53+Table1!T54+Table1!T55+Table1!T56+Table1!T58+Table1!T60+Table1!T61+Table1!T62+Table1!T63+Table1!T64</f>
        <v>7120980</v>
      </c>
      <c r="S27" s="335"/>
      <c r="T27" s="388">
        <f t="shared" si="0"/>
        <v>-124421.23000000138</v>
      </c>
      <c r="U27" s="336"/>
      <c r="V27" s="351">
        <f t="shared" si="1"/>
        <v>-0.017172441670287093</v>
      </c>
      <c r="W27" s="73"/>
    </row>
    <row r="28" spans="1:23" s="31" customFormat="1" ht="14.25">
      <c r="A28" s="25"/>
      <c r="C28" s="88"/>
      <c r="E28" s="55" t="s">
        <v>457</v>
      </c>
      <c r="F28" s="53"/>
      <c r="G28" s="53"/>
      <c r="H28" s="51"/>
      <c r="J28" s="92">
        <f>SUM(J25:J27)</f>
        <v>348681009.64</v>
      </c>
      <c r="K28" s="17"/>
      <c r="L28" s="346">
        <f>N28/J28-0.01%</f>
        <v>0.03320875154913412</v>
      </c>
      <c r="M28" s="17"/>
      <c r="N28" s="381">
        <f>SUM(N25:N27)</f>
        <v>11614129.120000001</v>
      </c>
      <c r="O28" s="373"/>
      <c r="P28" s="327">
        <f>Table1!V65</f>
        <v>3.41</v>
      </c>
      <c r="Q28" s="17"/>
      <c r="R28" s="92">
        <f>SUM(R25:R27)</f>
        <v>11890664</v>
      </c>
      <c r="S28" s="6"/>
      <c r="T28" s="387">
        <f t="shared" si="0"/>
        <v>276534.87999999896</v>
      </c>
      <c r="U28" s="25"/>
      <c r="V28" s="350">
        <f>T28/N28</f>
        <v>0.023810212297691327</v>
      </c>
      <c r="W28" s="73"/>
    </row>
    <row r="29" spans="1:23" s="31" customFormat="1" ht="12.75" customHeight="1">
      <c r="A29" s="25"/>
      <c r="C29" s="89"/>
      <c r="E29" s="55"/>
      <c r="F29" s="53"/>
      <c r="G29" s="53"/>
      <c r="H29" s="51"/>
      <c r="J29" s="92"/>
      <c r="K29" s="17"/>
      <c r="L29" s="17"/>
      <c r="M29" s="17"/>
      <c r="N29" s="384"/>
      <c r="O29" s="17"/>
      <c r="P29" s="17"/>
      <c r="Q29" s="17"/>
      <c r="R29" s="92"/>
      <c r="S29" s="6"/>
      <c r="T29" s="387"/>
      <c r="U29" s="25"/>
      <c r="V29" s="350"/>
      <c r="W29" s="73"/>
    </row>
    <row r="30" spans="1:23" s="31" customFormat="1" ht="12.75" customHeight="1">
      <c r="A30" s="25"/>
      <c r="C30" s="89"/>
      <c r="E30" s="55" t="s">
        <v>458</v>
      </c>
      <c r="F30" s="53"/>
      <c r="G30" s="53"/>
      <c r="H30" s="51"/>
      <c r="J30" s="92"/>
      <c r="K30" s="17"/>
      <c r="L30" s="17"/>
      <c r="M30" s="17"/>
      <c r="N30" s="381"/>
      <c r="O30" s="17"/>
      <c r="P30" s="17"/>
      <c r="Q30" s="17"/>
      <c r="R30" s="92"/>
      <c r="S30" s="6"/>
      <c r="T30" s="387"/>
      <c r="U30" s="25"/>
      <c r="V30" s="350"/>
      <c r="W30" s="73"/>
    </row>
    <row r="31" spans="1:23" s="31" customFormat="1" ht="12.75" customHeight="1">
      <c r="A31" s="25"/>
      <c r="C31" s="89"/>
      <c r="E31" s="131" t="s">
        <v>35</v>
      </c>
      <c r="F31" s="53"/>
      <c r="G31" s="53"/>
      <c r="H31" s="51"/>
      <c r="J31" s="92">
        <f>Table1!R74</f>
        <v>11944126.05</v>
      </c>
      <c r="K31" s="17"/>
      <c r="L31" s="17"/>
      <c r="M31" s="17"/>
      <c r="N31" s="381">
        <f>'Table 4 - Impact'!T74</f>
        <v>836088.82</v>
      </c>
      <c r="O31" s="17"/>
      <c r="P31" s="17"/>
      <c r="Q31" s="17"/>
      <c r="R31" s="92">
        <f>Table1!T74</f>
        <v>799747</v>
      </c>
      <c r="S31" s="6"/>
      <c r="T31" s="387">
        <f t="shared" si="0"/>
        <v>-36341.81999999995</v>
      </c>
      <c r="U31" s="25"/>
      <c r="V31" s="350">
        <f t="shared" si="1"/>
        <v>-0.043466458503774695</v>
      </c>
      <c r="W31" s="73"/>
    </row>
    <row r="32" spans="1:23" s="31" customFormat="1" ht="12.75" customHeight="1">
      <c r="A32" s="25"/>
      <c r="C32" s="89"/>
      <c r="E32" s="131" t="s">
        <v>459</v>
      </c>
      <c r="F32" s="53"/>
      <c r="G32" s="53"/>
      <c r="H32" s="51"/>
      <c r="J32" s="92">
        <f>Table1!R77</f>
        <v>1815240.61</v>
      </c>
      <c r="K32" s="17"/>
      <c r="L32" s="17"/>
      <c r="M32" s="17"/>
      <c r="N32" s="381">
        <f>'Table 4 - Impact'!T77</f>
        <v>121076.55</v>
      </c>
      <c r="O32" s="17"/>
      <c r="P32" s="17"/>
      <c r="Q32" s="17"/>
      <c r="R32" s="92">
        <f>Table1!T77</f>
        <v>106400</v>
      </c>
      <c r="S32" s="6"/>
      <c r="T32" s="387">
        <f t="shared" si="0"/>
        <v>-14676.550000000003</v>
      </c>
      <c r="U32" s="25"/>
      <c r="V32" s="350">
        <f t="shared" si="1"/>
        <v>-0.1212171142966991</v>
      </c>
      <c r="W32" s="73"/>
    </row>
    <row r="33" spans="1:23" s="31" customFormat="1" ht="12.75" customHeight="1">
      <c r="A33" s="25"/>
      <c r="C33" s="89"/>
      <c r="E33" s="131" t="s">
        <v>453</v>
      </c>
      <c r="F33" s="53"/>
      <c r="G33" s="53"/>
      <c r="H33" s="51"/>
      <c r="J33" s="179">
        <f>Table1!R68+Table1!R69+Table1!R70+Table1!R71+Table1!R72+Table1!R73+Table1!R75+Table1!R76</f>
        <v>30755359.11</v>
      </c>
      <c r="K33" s="334"/>
      <c r="L33" s="334"/>
      <c r="M33" s="334"/>
      <c r="N33" s="382">
        <f>'Table 4 - Impact'!T68+'Table 4 - Impact'!T69+'Table 4 - Impact'!T70+'Table 4 - Impact'!T71+'Table 4 - Impact'!T72+'Table 4 - Impact'!T73+'Table 4 - Impact'!T75+'Table 4 - Impact'!T76</f>
        <v>1677492.7200000002</v>
      </c>
      <c r="O33" s="334"/>
      <c r="P33" s="334"/>
      <c r="Q33" s="334"/>
      <c r="R33" s="179">
        <f>Table1!T68+Table1!T69+Table1!T70+Table1!T71+Table1!T72+Table1!T73+Table1!T75+Table1!T76</f>
        <v>1680213</v>
      </c>
      <c r="S33" s="335"/>
      <c r="T33" s="388">
        <f t="shared" si="0"/>
        <v>2720.279999999795</v>
      </c>
      <c r="U33" s="336"/>
      <c r="V33" s="351">
        <f t="shared" si="1"/>
        <v>0.0016216344593136564</v>
      </c>
      <c r="W33" s="73"/>
    </row>
    <row r="34" spans="1:31" s="55" customFormat="1" ht="12.75" customHeight="1">
      <c r="A34" s="25"/>
      <c r="C34" s="51"/>
      <c r="E34" s="55" t="s">
        <v>431</v>
      </c>
      <c r="F34" s="53"/>
      <c r="G34" s="53"/>
      <c r="H34" s="51"/>
      <c r="I34" s="31"/>
      <c r="J34" s="337">
        <f>SUM(J31:J33)</f>
        <v>44514725.769999996</v>
      </c>
      <c r="K34" s="338"/>
      <c r="L34" s="347">
        <f>N34/J34</f>
        <v>0.059186236563892027</v>
      </c>
      <c r="M34" s="338"/>
      <c r="N34" s="385">
        <f>SUM(N31:N33)+1</f>
        <v>2634659.0900000003</v>
      </c>
      <c r="O34" s="338"/>
      <c r="P34" s="339">
        <f>Table1!V78</f>
        <v>5.81</v>
      </c>
      <c r="Q34" s="338"/>
      <c r="R34" s="337">
        <f>SUM(R31:R33)</f>
        <v>2586360</v>
      </c>
      <c r="S34" s="340"/>
      <c r="T34" s="388">
        <f t="shared" si="0"/>
        <v>-48299.09000000032</v>
      </c>
      <c r="U34" s="341"/>
      <c r="V34" s="351">
        <f t="shared" si="1"/>
        <v>-0.018332197202788884</v>
      </c>
      <c r="W34" s="73"/>
      <c r="X34" s="31"/>
      <c r="Y34" s="31"/>
      <c r="Z34" s="31"/>
      <c r="AA34" s="31"/>
      <c r="AB34" s="31"/>
      <c r="AC34" s="31"/>
      <c r="AD34" s="31"/>
      <c r="AE34" s="31"/>
    </row>
    <row r="35" spans="1:23" s="31" customFormat="1" ht="12.75" customHeight="1">
      <c r="A35" s="25"/>
      <c r="C35" s="90"/>
      <c r="E35" s="55"/>
      <c r="F35" s="53"/>
      <c r="G35" s="53"/>
      <c r="H35" s="51"/>
      <c r="J35" s="386"/>
      <c r="K35" s="17"/>
      <c r="L35" s="17"/>
      <c r="M35" s="17"/>
      <c r="N35" s="384"/>
      <c r="O35" s="17"/>
      <c r="P35" s="17"/>
      <c r="Q35" s="17"/>
      <c r="R35" s="92"/>
      <c r="S35" s="6"/>
      <c r="T35" s="387"/>
      <c r="V35" s="350"/>
      <c r="W35" s="73"/>
    </row>
    <row r="36" spans="1:23" s="31" customFormat="1" ht="15" thickBot="1">
      <c r="A36" s="25"/>
      <c r="C36" s="90"/>
      <c r="E36" s="55" t="s">
        <v>316</v>
      </c>
      <c r="F36" s="53"/>
      <c r="G36" s="53"/>
      <c r="H36" s="51"/>
      <c r="J36" s="349">
        <f>J12+J14+J16+J22+J28+J34+1</f>
        <v>627104045</v>
      </c>
      <c r="K36" s="343"/>
      <c r="L36" s="345">
        <v>3.41</v>
      </c>
      <c r="M36" s="343"/>
      <c r="N36" s="348">
        <f>N12+N14+N16+N22+N28+N34</f>
        <v>21293814.94</v>
      </c>
      <c r="O36" s="373"/>
      <c r="P36" s="345">
        <f>Table1!V80</f>
        <v>3.51</v>
      </c>
      <c r="Q36" s="343"/>
      <c r="R36" s="349">
        <f>R12+R14+R16+R22+R28+R34</f>
        <v>22002550</v>
      </c>
      <c r="S36" s="344"/>
      <c r="T36" s="348">
        <f t="shared" si="0"/>
        <v>708735.0599999987</v>
      </c>
      <c r="U36" s="373"/>
      <c r="V36" s="372">
        <f t="shared" si="1"/>
        <v>0.03328361132079974</v>
      </c>
      <c r="W36" s="73"/>
    </row>
    <row r="37" spans="6:31" ht="12.75" customHeight="1" thickTop="1">
      <c r="F37" s="54"/>
      <c r="G37" s="54"/>
      <c r="H37" s="55"/>
      <c r="I37" s="331"/>
      <c r="J37" s="332"/>
      <c r="K37" s="331"/>
      <c r="L37" s="331"/>
      <c r="M37" s="331"/>
      <c r="N37" s="331"/>
      <c r="O37" s="331"/>
      <c r="P37" s="331"/>
      <c r="Q37" s="331"/>
      <c r="R37" s="332"/>
      <c r="S37" s="331"/>
      <c r="T37" s="332"/>
      <c r="U37" s="331"/>
      <c r="V37" s="332"/>
      <c r="W37" s="50"/>
      <c r="X37" s="55"/>
      <c r="Y37" s="55"/>
      <c r="Z37" s="55"/>
      <c r="AA37" s="55"/>
      <c r="AB37" s="55"/>
      <c r="AC37" s="55"/>
      <c r="AD37" s="55"/>
      <c r="AE37" s="55"/>
    </row>
    <row r="38" spans="5:8" ht="12.75" customHeight="1">
      <c r="E38" s="125" t="s">
        <v>465</v>
      </c>
      <c r="F38" s="126"/>
      <c r="G38" s="126"/>
      <c r="H38" s="127"/>
    </row>
    <row r="39" spans="5:6" ht="12.75" customHeight="1">
      <c r="E39" s="342">
        <v>1</v>
      </c>
      <c r="F39" s="342" t="s">
        <v>460</v>
      </c>
    </row>
    <row r="40" spans="5:8" ht="12.75" customHeight="1">
      <c r="E40" s="342">
        <v>2</v>
      </c>
      <c r="F40" s="193" t="s">
        <v>461</v>
      </c>
      <c r="G40" s="53"/>
      <c r="H40" s="31"/>
    </row>
    <row r="41" spans="5:6" ht="12.75" customHeight="1" outlineLevel="1">
      <c r="E41" s="342">
        <v>3</v>
      </c>
      <c r="F41" s="376" t="s">
        <v>466</v>
      </c>
    </row>
    <row r="42" spans="5:23" s="232" customFormat="1" ht="12.75" customHeight="1" outlineLevel="1">
      <c r="E42" s="376">
        <v>4</v>
      </c>
      <c r="F42" s="26" t="s">
        <v>467</v>
      </c>
      <c r="G42" s="377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9"/>
    </row>
    <row r="43" spans="5:23" s="232" customFormat="1" ht="12.75" customHeight="1" outlineLevel="1">
      <c r="E43" s="375"/>
      <c r="G43" s="377"/>
      <c r="J43" s="380"/>
      <c r="R43" s="380"/>
      <c r="T43" s="379"/>
      <c r="V43" s="379"/>
      <c r="W43" s="379"/>
    </row>
    <row r="44" ht="12.75" customHeight="1" outlineLevel="1"/>
    <row r="45" ht="12.75" customHeight="1" outlineLevel="1"/>
    <row r="46" ht="12.75" customHeight="1" outlineLevel="1"/>
    <row r="47" ht="12.75" customHeight="1" outlineLevel="1"/>
    <row r="48" ht="12.75" customHeight="1" outlineLevel="1"/>
    <row r="49" ht="12.75" customHeight="1" outlineLevel="1"/>
  </sheetData>
  <sheetProtection/>
  <mergeCells count="1">
    <mergeCell ref="T7:V7"/>
  </mergeCells>
  <printOptions horizontalCentered="1"/>
  <pageMargins left="0.75" right="0.75" top="1" bottom="1" header="0.5" footer="0.5"/>
  <pageSetup fitToHeight="0"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130" zoomScaleNormal="130" zoomScalePageLayoutView="0" workbookViewId="0" topLeftCell="A1">
      <selection activeCell="AF35" sqref="AF35"/>
    </sheetView>
  </sheetViews>
  <sheetFormatPr defaultColWidth="9.140625" defaultRowHeight="12.75"/>
  <cols>
    <col min="1" max="1" width="5.140625" style="117" customWidth="1"/>
    <col min="2" max="2" width="1.1484375" style="117" customWidth="1"/>
    <col min="3" max="3" width="40.7109375" style="117" customWidth="1"/>
    <col min="4" max="4" width="13.8515625" style="117" customWidth="1"/>
    <col min="5" max="6" width="20.00390625" style="117" bestFit="1" customWidth="1"/>
    <col min="7" max="7" width="13.8515625" style="117" customWidth="1"/>
    <col min="8" max="8" width="24.8515625" style="117" customWidth="1"/>
    <col min="9" max="9" width="14.140625" style="117" bestFit="1" customWidth="1"/>
    <col min="10" max="10" width="17.8515625" style="117" bestFit="1" customWidth="1"/>
    <col min="11" max="11" width="9.140625" style="117" customWidth="1"/>
    <col min="12" max="12" width="12.8515625" style="117" bestFit="1" customWidth="1"/>
    <col min="13" max="16384" width="9.140625" style="117" customWidth="1"/>
  </cols>
  <sheetData>
    <row r="1" spans="3:10" ht="12.75">
      <c r="C1" s="392" t="s">
        <v>441</v>
      </c>
      <c r="D1" s="391"/>
      <c r="E1" s="391"/>
      <c r="F1" s="391"/>
      <c r="G1" s="391"/>
      <c r="H1" s="391"/>
      <c r="I1" s="391"/>
      <c r="J1" s="393"/>
    </row>
    <row r="2" spans="3:10" ht="12.75">
      <c r="C2" s="394" t="s">
        <v>440</v>
      </c>
      <c r="D2" s="395"/>
      <c r="E2" s="395"/>
      <c r="F2" s="395"/>
      <c r="G2" s="395"/>
      <c r="H2" s="395"/>
      <c r="I2" s="395"/>
      <c r="J2" s="396"/>
    </row>
    <row r="3" spans="3:10" ht="12.75">
      <c r="C3" s="267"/>
      <c r="D3" s="277"/>
      <c r="E3" s="277"/>
      <c r="F3" s="277"/>
      <c r="G3" s="277"/>
      <c r="H3" s="277"/>
      <c r="I3" s="277"/>
      <c r="J3" s="326"/>
    </row>
    <row r="4" spans="3:10" ht="12.75">
      <c r="C4" s="273"/>
      <c r="D4" s="260"/>
      <c r="E4" s="391"/>
      <c r="F4" s="391"/>
      <c r="G4" s="391"/>
      <c r="H4" s="260"/>
      <c r="I4" s="260"/>
      <c r="J4" s="261"/>
    </row>
    <row r="5" spans="3:10" ht="12.75">
      <c r="C5" s="273"/>
      <c r="D5" s="280" t="s">
        <v>400</v>
      </c>
      <c r="E5" s="278" t="s">
        <v>412</v>
      </c>
      <c r="F5" s="289" t="s">
        <v>412</v>
      </c>
      <c r="G5" s="289" t="s">
        <v>405</v>
      </c>
      <c r="H5" s="279" t="s">
        <v>397</v>
      </c>
      <c r="I5" s="285" t="s">
        <v>411</v>
      </c>
      <c r="J5" s="289" t="s">
        <v>407</v>
      </c>
    </row>
    <row r="6" spans="3:10" ht="12.75">
      <c r="C6" s="311" t="s">
        <v>425</v>
      </c>
      <c r="D6" s="281" t="s">
        <v>401</v>
      </c>
      <c r="E6" s="263" t="s">
        <v>398</v>
      </c>
      <c r="F6" s="290" t="s">
        <v>399</v>
      </c>
      <c r="G6" s="290" t="s">
        <v>406</v>
      </c>
      <c r="H6" s="274" t="s">
        <v>394</v>
      </c>
      <c r="I6" s="286" t="s">
        <v>396</v>
      </c>
      <c r="J6" s="290" t="s">
        <v>408</v>
      </c>
    </row>
    <row r="7" spans="3:10" ht="12.75">
      <c r="C7" s="267"/>
      <c r="D7" s="292" t="s">
        <v>395</v>
      </c>
      <c r="E7" s="293" t="s">
        <v>402</v>
      </c>
      <c r="F7" s="292" t="s">
        <v>403</v>
      </c>
      <c r="G7" s="292" t="s">
        <v>413</v>
      </c>
      <c r="H7" s="293" t="s">
        <v>409</v>
      </c>
      <c r="I7" s="292" t="s">
        <v>410</v>
      </c>
      <c r="J7" s="292" t="s">
        <v>414</v>
      </c>
    </row>
    <row r="8" spans="3:10" ht="12.75">
      <c r="C8" s="262"/>
      <c r="D8" s="282"/>
      <c r="E8" s="266"/>
      <c r="F8" s="282"/>
      <c r="G8" s="282"/>
      <c r="H8" s="266"/>
      <c r="I8" s="282"/>
      <c r="J8" s="282"/>
    </row>
    <row r="9" spans="1:10" ht="12.75">
      <c r="A9" s="5" t="str">
        <f>+Table1!F16</f>
        <v>311</v>
      </c>
      <c r="B9" s="5"/>
      <c r="C9" s="275" t="s">
        <v>33</v>
      </c>
      <c r="D9" s="283">
        <f>+Table1!R16</f>
        <v>9006038.08</v>
      </c>
      <c r="E9" s="276">
        <f>+Table1!T16</f>
        <v>547357</v>
      </c>
      <c r="F9" s="287">
        <f>+D9*0.0535</f>
        <v>481823.03728</v>
      </c>
      <c r="G9" s="291">
        <f>+E9-F9</f>
        <v>65533.96272000001</v>
      </c>
      <c r="H9" s="276">
        <f>+Table2!P16</f>
        <v>2970356.99</v>
      </c>
      <c r="I9" s="287">
        <f>+D9*0.04</f>
        <v>360241.5232</v>
      </c>
      <c r="J9" s="291">
        <f>+H9-I9+G9</f>
        <v>2675649.4295200002</v>
      </c>
    </row>
    <row r="10" spans="1:10" ht="12.75">
      <c r="A10" s="5" t="str">
        <f>+Table1!F17</f>
        <v>312</v>
      </c>
      <c r="B10" s="5"/>
      <c r="C10" s="275" t="s">
        <v>29</v>
      </c>
      <c r="D10" s="283">
        <f>+Table1!R17</f>
        <v>26445979.81</v>
      </c>
      <c r="E10" s="276">
        <f>+Table1!T17</f>
        <v>1285317</v>
      </c>
      <c r="F10" s="287">
        <f>+D10*0.0453</f>
        <v>1198002.885393</v>
      </c>
      <c r="G10" s="291">
        <f aca="true" t="shared" si="0" ref="G10:G20">+E10-F10</f>
        <v>87314.11460700002</v>
      </c>
      <c r="H10" s="276">
        <f>+Table2!P17</f>
        <v>6788124.81</v>
      </c>
      <c r="I10" s="287">
        <f>+D10*0.0312</f>
        <v>825114.5700719999</v>
      </c>
      <c r="J10" s="291">
        <f>+H10-I10+G10</f>
        <v>6050324.3545349995</v>
      </c>
    </row>
    <row r="11" spans="1:10" ht="12.75">
      <c r="A11" s="5" t="str">
        <f>+Table1!F18</f>
        <v>314</v>
      </c>
      <c r="B11" s="5"/>
      <c r="C11" s="275" t="s">
        <v>30</v>
      </c>
      <c r="D11" s="283"/>
      <c r="E11" s="276"/>
      <c r="F11" s="287"/>
      <c r="G11" s="291"/>
      <c r="H11" s="276"/>
      <c r="I11" s="287"/>
      <c r="J11" s="291"/>
    </row>
    <row r="12" spans="1:10" ht="12.75">
      <c r="A12" s="5"/>
      <c r="B12" s="5"/>
      <c r="C12" s="275" t="s">
        <v>419</v>
      </c>
      <c r="D12" s="283">
        <f>+Table1!R19</f>
        <v>1954690.95</v>
      </c>
      <c r="E12" s="276">
        <f>+Table1!T19</f>
        <v>113005</v>
      </c>
      <c r="F12" s="287"/>
      <c r="G12" s="291"/>
      <c r="H12" s="276">
        <f>+Table2!P19</f>
        <v>727029.86</v>
      </c>
      <c r="I12" s="287"/>
      <c r="J12" s="291"/>
    </row>
    <row r="13" spans="1:10" ht="12.75">
      <c r="A13" s="5"/>
      <c r="B13" s="5"/>
      <c r="C13" s="275" t="s">
        <v>420</v>
      </c>
      <c r="D13" s="283">
        <f>+Table1!R20</f>
        <v>3909381.9</v>
      </c>
      <c r="E13" s="276">
        <f>+Table1!T20</f>
        <v>209582</v>
      </c>
      <c r="F13" s="287"/>
      <c r="G13" s="291"/>
      <c r="H13" s="276">
        <f>+Table2!P20</f>
        <v>1393541.3</v>
      </c>
      <c r="I13" s="287"/>
      <c r="J13" s="291"/>
    </row>
    <row r="14" spans="1:10" ht="12.75">
      <c r="A14" s="5"/>
      <c r="B14" s="5"/>
      <c r="C14" s="275" t="s">
        <v>421</v>
      </c>
      <c r="D14" s="294">
        <f>+Table1!R21</f>
        <v>15637527.64</v>
      </c>
      <c r="E14" s="268">
        <f>+Table1!T21</f>
        <v>796856</v>
      </c>
      <c r="F14" s="288"/>
      <c r="G14" s="295"/>
      <c r="H14" s="268">
        <f>+Table2!P21</f>
        <v>5344432.6</v>
      </c>
      <c r="I14" s="288"/>
      <c r="J14" s="295"/>
    </row>
    <row r="15" spans="1:10" ht="12.75">
      <c r="A15" s="5"/>
      <c r="B15" s="5"/>
      <c r="C15" s="275" t="s">
        <v>422</v>
      </c>
      <c r="D15" s="283">
        <f>+Table1!R22</f>
        <v>21501600.490000002</v>
      </c>
      <c r="E15" s="276">
        <f>+Table1!T22</f>
        <v>1119443</v>
      </c>
      <c r="F15" s="287">
        <f>+D15*0.0439</f>
        <v>943920.2615110001</v>
      </c>
      <c r="G15" s="291">
        <f t="shared" si="0"/>
        <v>175522.7384889999</v>
      </c>
      <c r="H15" s="276">
        <f>+Table2!P22</f>
        <v>7465003.76</v>
      </c>
      <c r="I15" s="287">
        <f>+D15*0.0381</f>
        <v>819210.9786690001</v>
      </c>
      <c r="J15" s="291">
        <f>+H15-I15+G15</f>
        <v>6821315.51982</v>
      </c>
    </row>
    <row r="16" spans="1:10" ht="12.75">
      <c r="A16" s="5"/>
      <c r="B16" s="5"/>
      <c r="C16" s="275"/>
      <c r="D16" s="283"/>
      <c r="E16" s="276"/>
      <c r="F16" s="287"/>
      <c r="G16" s="291"/>
      <c r="H16" s="276"/>
      <c r="I16" s="287"/>
      <c r="J16" s="291"/>
    </row>
    <row r="17" spans="1:10" ht="12.75">
      <c r="A17" s="5" t="str">
        <f>+Table1!F24</f>
        <v>315</v>
      </c>
      <c r="B17" s="5"/>
      <c r="C17" s="275" t="s">
        <v>31</v>
      </c>
      <c r="D17" s="283">
        <f>+Table1!R24</f>
        <v>2283113.25</v>
      </c>
      <c r="E17" s="276">
        <f>+Table1!T24</f>
        <v>68942</v>
      </c>
      <c r="F17" s="287">
        <f>+D17*0.0279</f>
        <v>63698.859675</v>
      </c>
      <c r="G17" s="291">
        <f t="shared" si="0"/>
        <v>5243.140325</v>
      </c>
      <c r="H17" s="276">
        <f>+Table2!P24</f>
        <v>448151.07</v>
      </c>
      <c r="I17" s="287">
        <f>+D17*0.0235</f>
        <v>53653.161375</v>
      </c>
      <c r="J17" s="291">
        <f>+H17-I17+G17</f>
        <v>399741.04894999997</v>
      </c>
    </row>
    <row r="18" spans="1:10" ht="12.75">
      <c r="A18" s="5" t="str">
        <f>+Table1!F25</f>
        <v>316</v>
      </c>
      <c r="B18" s="5"/>
      <c r="C18" s="294" t="s">
        <v>142</v>
      </c>
      <c r="D18" s="294">
        <f>+Table1!R25</f>
        <v>1512886.51</v>
      </c>
      <c r="E18" s="268">
        <f>+Table1!T25</f>
        <v>68526</v>
      </c>
      <c r="F18" s="288">
        <f>+D18*0.0419</f>
        <v>63389.944769</v>
      </c>
      <c r="G18" s="295">
        <f t="shared" si="0"/>
        <v>5136.0552309999985</v>
      </c>
      <c r="H18" s="268">
        <f>+Table2!P25</f>
        <v>335339.98</v>
      </c>
      <c r="I18" s="288">
        <f>+D18*0.028</f>
        <v>42360.82228</v>
      </c>
      <c r="J18" s="295">
        <f>+H18-I18+G18</f>
        <v>298115.21295099996</v>
      </c>
    </row>
    <row r="19" spans="1:10" ht="9" customHeight="1">
      <c r="A19" s="5"/>
      <c r="C19" s="262"/>
      <c r="D19" s="283"/>
      <c r="E19" s="276"/>
      <c r="F19" s="287"/>
      <c r="G19" s="291"/>
      <c r="H19" s="276"/>
      <c r="I19" s="287"/>
      <c r="J19" s="291"/>
    </row>
    <row r="20" spans="1:10" ht="12.75">
      <c r="A20" s="5"/>
      <c r="C20" s="309" t="s">
        <v>389</v>
      </c>
      <c r="D20" s="283">
        <f>+Table1!R27</f>
        <v>60749618.14</v>
      </c>
      <c r="E20" s="276">
        <f>+Table1!T27</f>
        <v>3089585</v>
      </c>
      <c r="F20" s="287">
        <f>SUM(F9:F19)</f>
        <v>2750834.988628</v>
      </c>
      <c r="G20" s="291">
        <f t="shared" si="0"/>
        <v>338750.011372</v>
      </c>
      <c r="H20" s="276">
        <f>+Table2!P27</f>
        <v>18006976.610000003</v>
      </c>
      <c r="I20" s="287">
        <f>SUM(I9:I19)</f>
        <v>2100581.055596</v>
      </c>
      <c r="J20" s="291">
        <f>SUM(J9:J19)</f>
        <v>16245145.565776</v>
      </c>
    </row>
    <row r="21" spans="3:10" ht="7.5" customHeight="1">
      <c r="C21" s="267"/>
      <c r="D21" s="284"/>
      <c r="E21" s="277"/>
      <c r="F21" s="288"/>
      <c r="G21" s="284"/>
      <c r="H21" s="268"/>
      <c r="I21" s="288"/>
      <c r="J21" s="284"/>
    </row>
    <row r="22" ht="12.75">
      <c r="F22" s="271"/>
    </row>
    <row r="23" ht="12.75">
      <c r="F23" s="271"/>
    </row>
    <row r="24" ht="12.75">
      <c r="F24" s="271"/>
    </row>
  </sheetData>
  <sheetProtection/>
  <mergeCells count="3">
    <mergeCell ref="E4:G4"/>
    <mergeCell ref="C1:J1"/>
    <mergeCell ref="C2:J2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Crockett, Gloria</dc:creator>
  <cp:keywords/>
  <dc:description/>
  <cp:lastModifiedBy>Donna Chandler</cp:lastModifiedBy>
  <cp:lastPrinted>2019-02-12T18:53:19Z</cp:lastPrinted>
  <dcterms:created xsi:type="dcterms:W3CDTF">2000-10-06T17:29:46Z</dcterms:created>
  <dcterms:modified xsi:type="dcterms:W3CDTF">2019-02-19T20:11:56Z</dcterms:modified>
  <cp:category/>
  <cp:version/>
  <cp:contentType/>
  <cp:contentStatus/>
</cp:coreProperties>
</file>