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<sst xmlns="http://schemas.openxmlformats.org/spreadsheetml/2006/main" count="118" uniqueCount="75">
  <si>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 xml:space="preserve"> 2019 Booth IR8</t>
  </si>
  <si>
    <t xml:space="preserve">  2019-01-15</t>
  </si>
  <si>
    <t>Natural gas</t>
  </si>
  <si>
    <t>Propane</t>
  </si>
  <si>
    <t>Heating oil</t>
  </si>
  <si>
    <t>Heat pump</t>
  </si>
  <si>
    <t>2017 Residential space and water heating costs</t>
  </si>
  <si>
    <t>Canadian Gas Association for Canada</t>
  </si>
  <si>
    <t>( $ )</t>
  </si>
  <si>
    <t>( $ / GJ )</t>
  </si>
  <si>
    <t>( GJ )</t>
  </si>
  <si>
    <t>Energy</t>
  </si>
  <si>
    <t>( $ / litre )</t>
  </si>
  <si>
    <t>n/a</t>
  </si>
  <si>
    <t>Estimate for PEI / MECL</t>
  </si>
  <si>
    <t xml:space="preserve">Notes:  1. </t>
  </si>
  <si>
    <t>Canadian Gas Association data is from their "Natural Gas Annual Review 2018"</t>
  </si>
  <si>
    <t>Electric resistance</t>
  </si>
  <si>
    <t xml:space="preserve">2. </t>
  </si>
  <si>
    <t xml:space="preserve">3. </t>
  </si>
  <si>
    <t xml:space="preserve">4. </t>
  </si>
  <si>
    <t>Higher heating value of 23,555 Btu / litre used for propane</t>
  </si>
  <si>
    <t>Higher heating value of 36,200 Btu / litre used for heating oil  ( i.e. furnace oil 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</si>
  <si>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</si>
  <si>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</si>
  <si>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</si>
  <si>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</si>
  <si>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</si>
  <si>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</si>
  <si>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</si>
  <si>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</si>
  <si>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</si>
  <si>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</si>
  <si>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</si>
  <si>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</si>
  <si>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</si>
  <si>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HDD</t>
  </si>
  <si>
    <t>( kWh )</t>
  </si>
  <si>
    <t>Lights &amp;</t>
  </si>
  <si>
    <t>appliances</t>
  </si>
  <si>
    <t>Water</t>
  </si>
  <si>
    <t>heating</t>
  </si>
  <si>
    <t>Total</t>
  </si>
  <si>
    <t>First</t>
  </si>
  <si>
    <t>block</t>
  </si>
  <si>
    <t>Second</t>
  </si>
  <si>
    <t>Sales tax</t>
  </si>
  <si>
    <t>( % )</t>
  </si>
  <si>
    <t xml:space="preserve">5. </t>
  </si>
  <si>
    <t>Electric resistance heating assumed to be 100 % efficient; 111.9 GJ corresponds to 31,086 kWh</t>
  </si>
  <si>
    <t>Electric resistance space heating</t>
  </si>
  <si>
    <t>Space and water heating:</t>
  </si>
  <si>
    <t>first block</t>
  </si>
  <si>
    <t>second block</t>
  </si>
  <si>
    <t xml:space="preserve"> %</t>
  </si>
  <si>
    <t>Heat pump space heating</t>
  </si>
  <si>
    <t xml:space="preserve">6. </t>
  </si>
  <si>
    <t>First block / second block split for space heating based on average monthly heating degree days.</t>
  </si>
  <si>
    <t>Water heating assumed to be all first block.  Overall average $ / GJ costs estimated as follows:</t>
  </si>
  <si>
    <t>Electric resistance:</t>
  </si>
  <si>
    <t>Heat pump:</t>
  </si>
  <si>
    <t>$ 0.1396 / kWh  x  0.50  +  $ 0.1108  x  0.50  =  $ 0.1252 / kWh</t>
  </si>
  <si>
    <t>$ 0.1396 / kWh  x  0.75  +  $ 0.1108  x  0.25  =  $ 0.1324 / kWh</t>
  </si>
  <si>
    <t>RESPONSE TO BOOTH IR-8</t>
  </si>
  <si>
    <t>Propane and heating oil prices for PEI are average of monthly IRAC posted maximum prices for 2017</t>
  </si>
  <si>
    <t>Electricity $ / GJ costs based on Martime Electric March 1, 2017 Residential Rate energy charges:</t>
  </si>
  <si>
    <t>Second block:  $ 0.1108 / kWh for kWh in excess of 2,000 for the month</t>
  </si>
  <si>
    <t>First block:  $ 0.1396 / kWh for first 2,000 kWh in month</t>
  </si>
  <si>
    <t xml:space="preserve">7. </t>
  </si>
  <si>
    <t>rebate on the first 2,000 kWh per month of energy consumed. The rebate also applies to propane heating</t>
  </si>
  <si>
    <t xml:space="preserve">8. </t>
  </si>
  <si>
    <t>Btu conversion factor of 3412 Btu per kWh;</t>
  </si>
  <si>
    <t>for residents of P.E.I.</t>
  </si>
  <si>
    <t xml:space="preserve">Sales tax rates used are those in effect in 2017. Effective July 16, 2018, the Province of PEI implemented </t>
  </si>
  <si>
    <t xml:space="preserve">the Clean Energy Price Incentive which provides eligible year-round Residential class customers with a 10%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</si>
</sst>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0" applyNumberForma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3">
      <selection activeCell="B35" sqref="B35"/>
    </sheetView>
  </sheetViews>
  <sheetFormatPr defaultColWidth="9.140625" defaultRowHeight="15"/>
  <cols>
    <col min="1" max="5" width="10.7109375" style="0" customWidth="1"/>
    <col min="6" max="6" width="2.7109375" style="0" customWidth="1"/>
    <col min="7" max="10" width="10.7109375" style="0" customWidth="1"/>
  </cols>
  <sheetData>
    <row r="1" spans="1:7" ht="15">
      <c r="A1" t="s">
        <v>0</v>
      </c>
      <c r="G1" s="5" t="s">
        <v>63</v>
      </c>
    </row>
    <row r="2" ht="15">
      <c r="A2" t="s">
        <v>1</v>
      </c>
    </row>
    <row r="4" spans="3:10" ht="15">
      <c r="C4" s="4"/>
      <c r="D4" s="4"/>
      <c r="E4" s="6"/>
      <c r="F4" s="6" t="s">
        <v>6</v>
      </c>
      <c r="G4" s="4"/>
      <c r="H4" s="4"/>
      <c r="I4" s="4"/>
      <c r="J4" s="4"/>
    </row>
    <row r="6" spans="3:10" ht="15">
      <c r="C6" s="4" t="s">
        <v>7</v>
      </c>
      <c r="D6" s="4"/>
      <c r="E6" s="4"/>
      <c r="G6" s="4"/>
      <c r="H6" s="14" t="s">
        <v>14</v>
      </c>
      <c r="I6" s="14"/>
      <c r="J6" s="4"/>
    </row>
    <row r="7" spans="3:9" ht="15">
      <c r="C7" s="5"/>
      <c r="D7" s="5"/>
      <c r="E7" s="5" t="s">
        <v>11</v>
      </c>
      <c r="I7" s="5" t="s">
        <v>46</v>
      </c>
    </row>
    <row r="8" spans="3:10" ht="15.75" thickBot="1">
      <c r="C8" s="7" t="s">
        <v>8</v>
      </c>
      <c r="D8" s="7" t="s">
        <v>9</v>
      </c>
      <c r="E8" s="7" t="s">
        <v>10</v>
      </c>
      <c r="F8" s="8"/>
      <c r="G8" s="8" t="s">
        <v>12</v>
      </c>
      <c r="H8" s="7" t="s">
        <v>9</v>
      </c>
      <c r="I8" s="7" t="s">
        <v>47</v>
      </c>
      <c r="J8" s="7" t="s">
        <v>8</v>
      </c>
    </row>
    <row r="10" spans="1:10" ht="15">
      <c r="A10" t="s">
        <v>2</v>
      </c>
      <c r="C10" s="3">
        <v>1148</v>
      </c>
      <c r="D10" s="1">
        <v>8.75</v>
      </c>
      <c r="E10" s="2">
        <f>C10/D10</f>
        <v>131.2</v>
      </c>
      <c r="G10" s="5" t="s">
        <v>13</v>
      </c>
      <c r="H10" s="5" t="s">
        <v>13</v>
      </c>
      <c r="I10" s="12"/>
      <c r="J10" s="5" t="s">
        <v>13</v>
      </c>
    </row>
    <row r="11" spans="3:9" ht="15">
      <c r="C11" s="3"/>
      <c r="D11" s="1"/>
      <c r="E11" s="2"/>
      <c r="I11" s="3"/>
    </row>
    <row r="12" spans="1:10" ht="15">
      <c r="A12" t="s">
        <v>3</v>
      </c>
      <c r="C12" s="3">
        <v>3670</v>
      </c>
      <c r="D12" s="1">
        <v>27.98</v>
      </c>
      <c r="E12" s="2">
        <f>C12/D12</f>
        <v>131.1651179413867</v>
      </c>
      <c r="G12" s="9">
        <v>0.762</v>
      </c>
      <c r="H12" s="1">
        <f>G12*1000000/(23555*1.055)</f>
        <v>30.66333608646095</v>
      </c>
      <c r="I12" s="3">
        <v>15</v>
      </c>
      <c r="J12" s="3">
        <f>E12*H12*(1+I12/100)</f>
        <v>4625.254108395584</v>
      </c>
    </row>
    <row r="13" spans="3:10" ht="15">
      <c r="C13" s="3"/>
      <c r="D13" s="1"/>
      <c r="E13" s="2"/>
      <c r="G13" s="9"/>
      <c r="H13" s="1"/>
      <c r="I13" s="3"/>
      <c r="J13" s="3"/>
    </row>
    <row r="14" spans="1:10" ht="15">
      <c r="A14" t="s">
        <v>17</v>
      </c>
      <c r="C14" s="3">
        <v>3736</v>
      </c>
      <c r="D14" s="1">
        <v>33.38</v>
      </c>
      <c r="E14" s="2">
        <f>C14/D14</f>
        <v>111.92330736968243</v>
      </c>
      <c r="G14" s="9"/>
      <c r="H14" s="1">
        <f>0.1252/(0.003412*1.055)</f>
        <v>34.78106265591751</v>
      </c>
      <c r="I14" s="3">
        <v>15</v>
      </c>
      <c r="J14" s="3">
        <f>E14*H14*(1+I14/100)</f>
        <v>4476.733301224804</v>
      </c>
    </row>
    <row r="15" spans="3:10" ht="15">
      <c r="C15" s="3"/>
      <c r="D15" s="1"/>
      <c r="E15" s="2"/>
      <c r="G15" s="9"/>
      <c r="H15" s="1"/>
      <c r="I15" s="3"/>
      <c r="J15" s="3"/>
    </row>
    <row r="16" spans="1:10" ht="15">
      <c r="A16" t="s">
        <v>4</v>
      </c>
      <c r="C16" s="3">
        <v>3595</v>
      </c>
      <c r="D16" s="1">
        <v>26.32</v>
      </c>
      <c r="E16" s="2">
        <f>C16/D16</f>
        <v>136.58814589665653</v>
      </c>
      <c r="G16" s="9">
        <v>0.78</v>
      </c>
      <c r="H16" s="1">
        <f>G16*1000000/(36200*1.055)</f>
        <v>20.423660024613127</v>
      </c>
      <c r="I16" s="3">
        <v>5</v>
      </c>
      <c r="J16" s="3">
        <f>E16*H16*(1+I16/100)</f>
        <v>2929.111347944848</v>
      </c>
    </row>
    <row r="17" spans="3:10" ht="15">
      <c r="C17" s="3"/>
      <c r="D17" s="1"/>
      <c r="E17" s="2"/>
      <c r="G17" s="9"/>
      <c r="H17" s="1"/>
      <c r="I17" s="3"/>
      <c r="J17" s="3"/>
    </row>
    <row r="18" spans="1:10" ht="15">
      <c r="A18" t="s">
        <v>5</v>
      </c>
      <c r="C18" s="3">
        <v>2280</v>
      </c>
      <c r="D18" s="1">
        <v>33.38</v>
      </c>
      <c r="E18" s="2">
        <f>C18/D18</f>
        <v>68.3043738765728</v>
      </c>
      <c r="G18" s="9"/>
      <c r="H18" s="1">
        <f>0.1324/(0.003412*1.055)</f>
        <v>36.78125156264758</v>
      </c>
      <c r="I18" s="3">
        <v>15</v>
      </c>
      <c r="J18" s="3">
        <f>E18*H18*(1+I18/100)</f>
        <v>2889.168412140861</v>
      </c>
    </row>
    <row r="21" spans="1:2" ht="15">
      <c r="A21" s="10" t="s">
        <v>15</v>
      </c>
      <c r="B21" t="s">
        <v>16</v>
      </c>
    </row>
    <row r="22" ht="15">
      <c r="A22" s="10"/>
    </row>
    <row r="23" spans="1:2" ht="15">
      <c r="A23" s="11" t="s">
        <v>18</v>
      </c>
      <c r="B23" t="s">
        <v>64</v>
      </c>
    </row>
    <row r="24" ht="15">
      <c r="A24" s="10"/>
    </row>
    <row r="25" spans="1:2" ht="15">
      <c r="A25" s="11" t="s">
        <v>19</v>
      </c>
      <c r="B25" t="s">
        <v>21</v>
      </c>
    </row>
    <row r="26" ht="15">
      <c r="A26" s="10"/>
    </row>
    <row r="27" spans="1:2" ht="15">
      <c r="A27" s="11" t="s">
        <v>20</v>
      </c>
      <c r="B27" t="s">
        <v>49</v>
      </c>
    </row>
    <row r="28" ht="15">
      <c r="A28" s="10"/>
    </row>
    <row r="29" spans="1:2" ht="15">
      <c r="A29" s="11" t="s">
        <v>48</v>
      </c>
      <c r="B29" t="s">
        <v>22</v>
      </c>
    </row>
    <row r="30" ht="15">
      <c r="A30" s="10"/>
    </row>
    <row r="31" spans="1:2" ht="15">
      <c r="A31" s="11" t="s">
        <v>56</v>
      </c>
      <c r="B31" t="s">
        <v>71</v>
      </c>
    </row>
    <row r="32" ht="15">
      <c r="A32" s="11"/>
    </row>
    <row r="33" spans="1:2" ht="15">
      <c r="A33" s="11" t="s">
        <v>68</v>
      </c>
      <c r="B33" s="18" t="s">
        <v>73</v>
      </c>
    </row>
    <row r="34" spans="1:2" ht="15">
      <c r="A34" s="11"/>
      <c r="B34" t="s">
        <v>74</v>
      </c>
    </row>
    <row r="35" spans="1:2" ht="15">
      <c r="A35" s="11"/>
      <c r="B35" s="18" t="s">
        <v>69</v>
      </c>
    </row>
    <row r="36" spans="1:2" ht="15">
      <c r="A36" s="11"/>
      <c r="B36" s="18" t="s">
        <v>72</v>
      </c>
    </row>
    <row r="37" ht="15">
      <c r="A37" s="10"/>
    </row>
    <row r="38" spans="1:2" ht="15">
      <c r="A38" s="11" t="s">
        <v>70</v>
      </c>
      <c r="B38" t="s">
        <v>65</v>
      </c>
    </row>
    <row r="39" spans="1:3" ht="15">
      <c r="A39" s="11"/>
      <c r="C39" t="s">
        <v>67</v>
      </c>
    </row>
    <row r="40" spans="1:3" ht="15">
      <c r="A40" s="11"/>
      <c r="C40" t="s">
        <v>66</v>
      </c>
    </row>
    <row r="41" ht="15">
      <c r="A41" s="11"/>
    </row>
    <row r="42" ht="15">
      <c r="B42" t="s">
        <v>57</v>
      </c>
    </row>
    <row r="43" ht="15">
      <c r="B43" t="s">
        <v>58</v>
      </c>
    </row>
    <row r="44" spans="3:5" ht="15">
      <c r="C44" t="s">
        <v>59</v>
      </c>
      <c r="E44" t="s">
        <v>61</v>
      </c>
    </row>
    <row r="46" spans="3:5" ht="15">
      <c r="C46" t="s">
        <v>60</v>
      </c>
      <c r="E46" t="s">
        <v>62</v>
      </c>
    </row>
    <row r="50" spans="5:9" ht="15">
      <c r="E50" s="4"/>
      <c r="F50" s="4"/>
      <c r="G50" s="6" t="s">
        <v>50</v>
      </c>
      <c r="H50" s="4"/>
      <c r="I50" s="15"/>
    </row>
    <row r="51" spans="2:9" ht="15">
      <c r="B51" s="5"/>
      <c r="C51" s="5" t="s">
        <v>38</v>
      </c>
      <c r="D51" s="5" t="s">
        <v>40</v>
      </c>
      <c r="E51" s="5"/>
      <c r="F51" s="5"/>
      <c r="G51" s="5" t="s">
        <v>43</v>
      </c>
      <c r="H51" s="5" t="s">
        <v>45</v>
      </c>
      <c r="I51" s="5"/>
    </row>
    <row r="52" spans="2:9" ht="15">
      <c r="B52" s="5" t="s">
        <v>35</v>
      </c>
      <c r="C52" s="5" t="s">
        <v>39</v>
      </c>
      <c r="D52" s="5" t="s">
        <v>41</v>
      </c>
      <c r="E52" s="5" t="s">
        <v>42</v>
      </c>
      <c r="F52" s="5"/>
      <c r="G52" s="5" t="s">
        <v>44</v>
      </c>
      <c r="H52" s="5" t="s">
        <v>44</v>
      </c>
      <c r="I52" s="5"/>
    </row>
    <row r="53" spans="2:9" ht="15.75" thickBot="1">
      <c r="B53" s="7" t="s">
        <v>36</v>
      </c>
      <c r="C53" s="7" t="s">
        <v>37</v>
      </c>
      <c r="D53" s="7" t="s">
        <v>37</v>
      </c>
      <c r="E53" s="7" t="s">
        <v>37</v>
      </c>
      <c r="F53" s="7"/>
      <c r="G53" s="7" t="s">
        <v>37</v>
      </c>
      <c r="H53" s="7" t="s">
        <v>37</v>
      </c>
      <c r="I53" s="5"/>
    </row>
    <row r="55" spans="1:9" ht="15">
      <c r="A55" s="12" t="s">
        <v>23</v>
      </c>
      <c r="B55" s="3">
        <v>757.6</v>
      </c>
      <c r="C55" s="3">
        <v>500</v>
      </c>
      <c r="D55" s="3">
        <v>500</v>
      </c>
      <c r="E55" s="3">
        <f>B55*E$68/B$68</f>
        <v>4351.793735116323</v>
      </c>
      <c r="F55" s="3"/>
      <c r="G55" s="3">
        <f>IF(SUM(C55:E55)&gt;2000,2000-C55-D55,SUM(C55:E55)-C55-D55)</f>
        <v>1000</v>
      </c>
      <c r="H55" s="3">
        <f>IF(E55-G55&gt;0,E55-G55,0)</f>
        <v>3351.7937351163228</v>
      </c>
      <c r="I55" s="3"/>
    </row>
    <row r="56" spans="1:9" ht="15">
      <c r="A56" s="12" t="s">
        <v>24</v>
      </c>
      <c r="B56" s="3">
        <v>688.5</v>
      </c>
      <c r="C56" s="3">
        <v>500</v>
      </c>
      <c r="D56" s="3">
        <v>500</v>
      </c>
      <c r="E56" s="3">
        <f aca="true" t="shared" si="0" ref="E56:E66">B56*E$68/B$68</f>
        <v>3954.870626488369</v>
      </c>
      <c r="F56" s="3"/>
      <c r="G56" s="3">
        <f aca="true" t="shared" si="1" ref="G56:G66">IF(SUM(C56:E56)&gt;2000,2000-C56-D56,SUM(C56:E56)-C56-D56)</f>
        <v>1000</v>
      </c>
      <c r="H56" s="3">
        <f aca="true" t="shared" si="2" ref="H56:H66">IF(E56-G56&gt;0,E56-G56,0)</f>
        <v>2954.870626488369</v>
      </c>
      <c r="I56" s="3"/>
    </row>
    <row r="57" spans="1:9" ht="15">
      <c r="A57" s="12" t="s">
        <v>25</v>
      </c>
      <c r="B57" s="3">
        <v>656.8</v>
      </c>
      <c r="C57" s="3">
        <v>500</v>
      </c>
      <c r="D57" s="3">
        <v>500</v>
      </c>
      <c r="E57" s="3">
        <f t="shared" si="0"/>
        <v>3772.779996336326</v>
      </c>
      <c r="F57" s="3"/>
      <c r="G57" s="3">
        <f t="shared" si="1"/>
        <v>1000</v>
      </c>
      <c r="H57" s="3">
        <f t="shared" si="2"/>
        <v>2772.779996336326</v>
      </c>
      <c r="I57" s="3"/>
    </row>
    <row r="58" spans="1:9" ht="15">
      <c r="A58" s="12" t="s">
        <v>26</v>
      </c>
      <c r="B58" s="3">
        <v>432.6</v>
      </c>
      <c r="C58" s="3">
        <v>500</v>
      </c>
      <c r="D58" s="3">
        <v>500</v>
      </c>
      <c r="E58" s="3">
        <f t="shared" si="0"/>
        <v>2484.933962264152</v>
      </c>
      <c r="F58" s="3"/>
      <c r="G58" s="3">
        <f t="shared" si="1"/>
        <v>1000</v>
      </c>
      <c r="H58" s="3">
        <f t="shared" si="2"/>
        <v>1484.933962264152</v>
      </c>
      <c r="I58" s="3"/>
    </row>
    <row r="59" spans="1:9" ht="15">
      <c r="A59" s="12" t="s">
        <v>27</v>
      </c>
      <c r="B59" s="3">
        <v>257.5</v>
      </c>
      <c r="C59" s="3">
        <v>500</v>
      </c>
      <c r="D59" s="3">
        <v>500</v>
      </c>
      <c r="E59" s="3">
        <f t="shared" si="0"/>
        <v>1479.1273584905664</v>
      </c>
      <c r="F59" s="3"/>
      <c r="G59" s="3">
        <f t="shared" si="1"/>
        <v>1000</v>
      </c>
      <c r="H59" s="3">
        <f t="shared" si="2"/>
        <v>479.1273584905664</v>
      </c>
      <c r="I59" s="3"/>
    </row>
    <row r="60" spans="1:9" ht="15">
      <c r="A60" s="12" t="s">
        <v>28</v>
      </c>
      <c r="B60" s="3">
        <v>118.5</v>
      </c>
      <c r="C60" s="3">
        <v>500</v>
      </c>
      <c r="D60" s="3">
        <v>500</v>
      </c>
      <c r="E60" s="3">
        <f t="shared" si="0"/>
        <v>680.6857941014839</v>
      </c>
      <c r="F60" s="3"/>
      <c r="G60" s="3">
        <f t="shared" si="1"/>
        <v>680.6857941014839</v>
      </c>
      <c r="H60" s="3">
        <f t="shared" si="2"/>
        <v>0</v>
      </c>
      <c r="I60" s="3"/>
    </row>
    <row r="61" spans="1:9" ht="15">
      <c r="A61" s="12" t="s">
        <v>29</v>
      </c>
      <c r="B61" s="3">
        <v>18.7</v>
      </c>
      <c r="C61" s="3">
        <v>500</v>
      </c>
      <c r="D61" s="3">
        <v>500</v>
      </c>
      <c r="E61" s="3">
        <f t="shared" si="0"/>
        <v>107.41623923795568</v>
      </c>
      <c r="F61" s="3"/>
      <c r="G61" s="3">
        <f t="shared" si="1"/>
        <v>107.41623923795578</v>
      </c>
      <c r="H61" s="3">
        <f t="shared" si="2"/>
        <v>0</v>
      </c>
      <c r="I61" s="3"/>
    </row>
    <row r="62" spans="1:9" ht="15">
      <c r="A62" s="12" t="s">
        <v>30</v>
      </c>
      <c r="B62" s="3">
        <v>19</v>
      </c>
      <c r="C62" s="3">
        <v>500</v>
      </c>
      <c r="D62" s="3">
        <v>500</v>
      </c>
      <c r="E62" s="3">
        <f t="shared" si="0"/>
        <v>109.13949441289616</v>
      </c>
      <c r="F62" s="3"/>
      <c r="G62" s="3">
        <f t="shared" si="1"/>
        <v>109.13949441289606</v>
      </c>
      <c r="H62" s="3">
        <f t="shared" si="2"/>
        <v>9.947598300641403E-14</v>
      </c>
      <c r="I62" s="3"/>
    </row>
    <row r="63" spans="1:9" ht="15">
      <c r="A63" s="12" t="s">
        <v>31</v>
      </c>
      <c r="B63" s="3">
        <v>101.9</v>
      </c>
      <c r="C63" s="3">
        <v>500</v>
      </c>
      <c r="D63" s="3">
        <v>500</v>
      </c>
      <c r="E63" s="3">
        <f t="shared" si="0"/>
        <v>585.3323410881117</v>
      </c>
      <c r="F63" s="3"/>
      <c r="G63" s="3">
        <f t="shared" si="1"/>
        <v>585.3323410881117</v>
      </c>
      <c r="H63" s="3">
        <f t="shared" si="2"/>
        <v>0</v>
      </c>
      <c r="I63" s="3"/>
    </row>
    <row r="64" spans="1:9" ht="15">
      <c r="A64" s="12" t="s">
        <v>32</v>
      </c>
      <c r="B64" s="3">
        <v>271.6</v>
      </c>
      <c r="C64" s="3">
        <v>500</v>
      </c>
      <c r="D64" s="3">
        <v>500</v>
      </c>
      <c r="E64" s="3">
        <f t="shared" si="0"/>
        <v>1560.1203517127685</v>
      </c>
      <c r="F64" s="3"/>
      <c r="G64" s="3">
        <f t="shared" si="1"/>
        <v>1000</v>
      </c>
      <c r="H64" s="3">
        <f t="shared" si="2"/>
        <v>560.1203517127685</v>
      </c>
      <c r="I64" s="3"/>
    </row>
    <row r="65" spans="1:9" ht="15">
      <c r="A65" s="12" t="s">
        <v>33</v>
      </c>
      <c r="B65" s="3">
        <v>427.2</v>
      </c>
      <c r="C65" s="3">
        <v>500</v>
      </c>
      <c r="D65" s="3">
        <v>500</v>
      </c>
      <c r="E65" s="3">
        <f t="shared" si="0"/>
        <v>2453.915369115223</v>
      </c>
      <c r="F65" s="3"/>
      <c r="G65" s="3">
        <f t="shared" si="1"/>
        <v>1000</v>
      </c>
      <c r="H65" s="3">
        <f t="shared" si="2"/>
        <v>1453.9153691152228</v>
      </c>
      <c r="I65" s="3"/>
    </row>
    <row r="66" spans="1:9" ht="15">
      <c r="A66" s="12" t="s">
        <v>34</v>
      </c>
      <c r="B66" s="13">
        <v>617.3</v>
      </c>
      <c r="C66" s="13">
        <v>500</v>
      </c>
      <c r="D66" s="13">
        <v>500</v>
      </c>
      <c r="E66" s="13">
        <f t="shared" si="0"/>
        <v>3545.8847316358315</v>
      </c>
      <c r="F66" s="3"/>
      <c r="G66" s="13">
        <f t="shared" si="1"/>
        <v>1000</v>
      </c>
      <c r="H66" s="13">
        <f t="shared" si="2"/>
        <v>2545.8847316358315</v>
      </c>
      <c r="I66" s="16"/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15">
      <c r="A68" s="3"/>
      <c r="B68" s="3">
        <f>SUM(B55:B66)</f>
        <v>4367.199999999999</v>
      </c>
      <c r="C68" s="3">
        <f>SUM(C55:C66)</f>
        <v>6000</v>
      </c>
      <c r="D68" s="3">
        <f>SUM(D55:D66)</f>
        <v>6000</v>
      </c>
      <c r="E68" s="3">
        <f>31086-D68</f>
        <v>25086</v>
      </c>
      <c r="F68" s="3"/>
      <c r="G68" s="3">
        <f>SUM(G55:G66)</f>
        <v>9482.573868840447</v>
      </c>
      <c r="H68" s="3">
        <f>SUM(H55:H66)</f>
        <v>15603.42613115956</v>
      </c>
      <c r="I68" s="3"/>
    </row>
    <row r="70" spans="2:8" ht="15">
      <c r="B70" t="s">
        <v>51</v>
      </c>
      <c r="E70" t="s">
        <v>52</v>
      </c>
      <c r="G70" s="17">
        <f>100*(D68+G68)/(D68+E68)</f>
        <v>49.80561625439248</v>
      </c>
      <c r="H70" t="s">
        <v>54</v>
      </c>
    </row>
    <row r="71" spans="5:8" ht="15">
      <c r="E71" t="s">
        <v>53</v>
      </c>
      <c r="G71" s="17">
        <f>100*H68/(D68+E68)</f>
        <v>50.194383745607546</v>
      </c>
      <c r="H71" t="s">
        <v>54</v>
      </c>
    </row>
    <row r="74" spans="5:8" ht="15">
      <c r="E74" s="4"/>
      <c r="F74" s="4"/>
      <c r="G74" s="6" t="s">
        <v>55</v>
      </c>
      <c r="H74" s="4"/>
    </row>
    <row r="75" spans="2:8" ht="15">
      <c r="B75" s="5"/>
      <c r="C75" s="5" t="s">
        <v>38</v>
      </c>
      <c r="D75" s="5" t="s">
        <v>40</v>
      </c>
      <c r="E75" s="5"/>
      <c r="F75" s="5"/>
      <c r="G75" s="5" t="s">
        <v>43</v>
      </c>
      <c r="H75" s="5" t="s">
        <v>45</v>
      </c>
    </row>
    <row r="76" spans="2:8" ht="15">
      <c r="B76" s="5" t="s">
        <v>35</v>
      </c>
      <c r="C76" s="5" t="s">
        <v>39</v>
      </c>
      <c r="D76" s="5" t="s">
        <v>41</v>
      </c>
      <c r="E76" s="5" t="s">
        <v>42</v>
      </c>
      <c r="F76" s="5"/>
      <c r="G76" s="5" t="s">
        <v>44</v>
      </c>
      <c r="H76" s="5" t="s">
        <v>44</v>
      </c>
    </row>
    <row r="77" spans="2:8" ht="15.75" thickBot="1">
      <c r="B77" s="7" t="s">
        <v>36</v>
      </c>
      <c r="C77" s="7" t="s">
        <v>37</v>
      </c>
      <c r="D77" s="7" t="s">
        <v>37</v>
      </c>
      <c r="E77" s="7" t="s">
        <v>37</v>
      </c>
      <c r="F77" s="7"/>
      <c r="G77" s="7" t="s">
        <v>37</v>
      </c>
      <c r="H77" s="7" t="s">
        <v>37</v>
      </c>
    </row>
    <row r="79" spans="1:8" ht="15">
      <c r="A79" s="12" t="s">
        <v>23</v>
      </c>
      <c r="B79" s="3">
        <v>757.6</v>
      </c>
      <c r="C79" s="3">
        <v>500</v>
      </c>
      <c r="D79" s="3">
        <v>500</v>
      </c>
      <c r="E79" s="3">
        <f>B79*E$92/B$92</f>
        <v>2250.6645905843566</v>
      </c>
      <c r="F79" s="3"/>
      <c r="G79" s="3">
        <f>IF(SUM(C79:E79)&gt;2000,2000-C79-D79,SUM(C79:E79)-C79-D79)</f>
        <v>1000</v>
      </c>
      <c r="H79" s="3">
        <f>IF(E79-G79&gt;0,E79-G79,0)</f>
        <v>1250.6645905843566</v>
      </c>
    </row>
    <row r="80" spans="1:8" ht="15">
      <c r="A80" s="12" t="s">
        <v>24</v>
      </c>
      <c r="B80" s="3">
        <v>688.5</v>
      </c>
      <c r="C80" s="3">
        <v>500</v>
      </c>
      <c r="D80" s="3">
        <v>500</v>
      </c>
      <c r="E80" s="3">
        <f aca="true" t="shared" si="3" ref="E80:E90">B80*E$92/B$92</f>
        <v>2045.383540941565</v>
      </c>
      <c r="F80" s="3"/>
      <c r="G80" s="3">
        <f aca="true" t="shared" si="4" ref="G80:G90">IF(SUM(C80:E80)&gt;2000,2000-C80-D80,SUM(C80:E80)-C80-D80)</f>
        <v>1000</v>
      </c>
      <c r="H80" s="3">
        <f aca="true" t="shared" si="5" ref="H80:H90">IF(E80-G80&gt;0,E80-G80,0)</f>
        <v>1045.383540941565</v>
      </c>
    </row>
    <row r="81" spans="1:8" ht="15">
      <c r="A81" s="12" t="s">
        <v>25</v>
      </c>
      <c r="B81" s="3">
        <v>656.8</v>
      </c>
      <c r="C81" s="3">
        <v>500</v>
      </c>
      <c r="D81" s="3">
        <v>500</v>
      </c>
      <c r="E81" s="3">
        <f t="shared" si="3"/>
        <v>1951.209745374611</v>
      </c>
      <c r="F81" s="3"/>
      <c r="G81" s="3">
        <f t="shared" si="4"/>
        <v>1000</v>
      </c>
      <c r="H81" s="3">
        <f t="shared" si="5"/>
        <v>951.209745374611</v>
      </c>
    </row>
    <row r="82" spans="1:8" ht="15">
      <c r="A82" s="12" t="s">
        <v>26</v>
      </c>
      <c r="B82" s="3">
        <v>432.6</v>
      </c>
      <c r="C82" s="3">
        <v>500</v>
      </c>
      <c r="D82" s="3">
        <v>500</v>
      </c>
      <c r="E82" s="3">
        <f t="shared" si="3"/>
        <v>1285.160377358491</v>
      </c>
      <c r="F82" s="3"/>
      <c r="G82" s="3">
        <f t="shared" si="4"/>
        <v>1000</v>
      </c>
      <c r="H82" s="3">
        <f t="shared" si="5"/>
        <v>285.1603773584909</v>
      </c>
    </row>
    <row r="83" spans="1:8" ht="15">
      <c r="A83" s="12" t="s">
        <v>27</v>
      </c>
      <c r="B83" s="3">
        <v>257.5</v>
      </c>
      <c r="C83" s="3">
        <v>500</v>
      </c>
      <c r="D83" s="3">
        <v>500</v>
      </c>
      <c r="E83" s="3">
        <f t="shared" si="3"/>
        <v>764.9764150943398</v>
      </c>
      <c r="F83" s="3"/>
      <c r="G83" s="3">
        <f t="shared" si="4"/>
        <v>764.9764150943397</v>
      </c>
      <c r="H83" s="3">
        <f t="shared" si="5"/>
        <v>1.1368683772161603E-13</v>
      </c>
    </row>
    <row r="84" spans="1:8" ht="15">
      <c r="A84" s="12" t="s">
        <v>28</v>
      </c>
      <c r="B84" s="3">
        <v>118.5</v>
      </c>
      <c r="C84" s="3">
        <v>500</v>
      </c>
      <c r="D84" s="3">
        <v>500</v>
      </c>
      <c r="E84" s="3">
        <f t="shared" si="3"/>
        <v>352.03769005312336</v>
      </c>
      <c r="F84" s="3"/>
      <c r="G84" s="3">
        <f t="shared" si="4"/>
        <v>352.03769005312324</v>
      </c>
      <c r="H84" s="3">
        <f t="shared" si="5"/>
        <v>1.1368683772161603E-13</v>
      </c>
    </row>
    <row r="85" spans="1:8" ht="15">
      <c r="A85" s="12" t="s">
        <v>29</v>
      </c>
      <c r="B85" s="3">
        <v>18.7</v>
      </c>
      <c r="C85" s="3">
        <v>500</v>
      </c>
      <c r="D85" s="3">
        <v>500</v>
      </c>
      <c r="E85" s="3">
        <f t="shared" si="3"/>
        <v>55.55362703791904</v>
      </c>
      <c r="F85" s="3"/>
      <c r="G85" s="3">
        <f t="shared" si="4"/>
        <v>55.553627037919114</v>
      </c>
      <c r="H85" s="3">
        <f t="shared" si="5"/>
        <v>0</v>
      </c>
    </row>
    <row r="86" spans="1:8" ht="15">
      <c r="A86" s="12" t="s">
        <v>30</v>
      </c>
      <c r="B86" s="3">
        <v>19</v>
      </c>
      <c r="C86" s="3">
        <v>500</v>
      </c>
      <c r="D86" s="3">
        <v>500</v>
      </c>
      <c r="E86" s="3">
        <f t="shared" si="3"/>
        <v>56.444861696281386</v>
      </c>
      <c r="F86" s="3"/>
      <c r="G86" s="3">
        <f t="shared" si="4"/>
        <v>56.44486169628135</v>
      </c>
      <c r="H86" s="3">
        <f t="shared" si="5"/>
        <v>3.552713678800501E-14</v>
      </c>
    </row>
    <row r="87" spans="1:8" ht="15">
      <c r="A87" s="12" t="s">
        <v>31</v>
      </c>
      <c r="B87" s="3">
        <v>101.9</v>
      </c>
      <c r="C87" s="3">
        <v>500</v>
      </c>
      <c r="D87" s="3">
        <v>500</v>
      </c>
      <c r="E87" s="3">
        <f t="shared" si="3"/>
        <v>302.7227056237407</v>
      </c>
      <c r="F87" s="3"/>
      <c r="G87" s="3">
        <f t="shared" si="4"/>
        <v>302.7227056237407</v>
      </c>
      <c r="H87" s="3">
        <f t="shared" si="5"/>
        <v>0</v>
      </c>
    </row>
    <row r="88" spans="1:8" ht="15">
      <c r="A88" s="12" t="s">
        <v>32</v>
      </c>
      <c r="B88" s="3">
        <v>271.6</v>
      </c>
      <c r="C88" s="3">
        <v>500</v>
      </c>
      <c r="D88" s="3">
        <v>500</v>
      </c>
      <c r="E88" s="3">
        <f t="shared" si="3"/>
        <v>806.8644440373698</v>
      </c>
      <c r="F88" s="3"/>
      <c r="G88" s="3">
        <f t="shared" si="4"/>
        <v>806.8644440373698</v>
      </c>
      <c r="H88" s="3">
        <f t="shared" si="5"/>
        <v>0</v>
      </c>
    </row>
    <row r="89" spans="1:8" ht="15">
      <c r="A89" s="12" t="s">
        <v>33</v>
      </c>
      <c r="B89" s="3">
        <v>427.2</v>
      </c>
      <c r="C89" s="3">
        <v>500</v>
      </c>
      <c r="D89" s="3">
        <v>500</v>
      </c>
      <c r="E89" s="3">
        <f t="shared" si="3"/>
        <v>1269.1181535079688</v>
      </c>
      <c r="F89" s="3"/>
      <c r="G89" s="3">
        <f t="shared" si="4"/>
        <v>1000</v>
      </c>
      <c r="H89" s="3">
        <f t="shared" si="5"/>
        <v>269.1181535079688</v>
      </c>
    </row>
    <row r="90" spans="1:8" ht="15">
      <c r="A90" s="12" t="s">
        <v>34</v>
      </c>
      <c r="B90" s="13">
        <v>617.3</v>
      </c>
      <c r="C90" s="13">
        <v>500</v>
      </c>
      <c r="D90" s="13">
        <v>500</v>
      </c>
      <c r="E90" s="13">
        <f t="shared" si="3"/>
        <v>1833.8638486902366</v>
      </c>
      <c r="F90" s="3"/>
      <c r="G90" s="13">
        <f t="shared" si="4"/>
        <v>1000</v>
      </c>
      <c r="H90" s="13">
        <f t="shared" si="5"/>
        <v>833.8638486902366</v>
      </c>
    </row>
    <row r="91" spans="1:8" ht="15">
      <c r="A91" s="3"/>
      <c r="B91" s="3"/>
      <c r="C91" s="3"/>
      <c r="D91" s="3"/>
      <c r="E91" s="3"/>
      <c r="F91" s="3"/>
      <c r="G91" s="3"/>
      <c r="H91" s="3"/>
    </row>
    <row r="92" spans="1:8" ht="15">
      <c r="A92" s="3"/>
      <c r="B92" s="3">
        <f>SUM(B79:B90)</f>
        <v>4367.199999999999</v>
      </c>
      <c r="C92" s="3">
        <f>SUM(C79:C90)</f>
        <v>6000</v>
      </c>
      <c r="D92" s="3">
        <f>SUM(D79:D90)</f>
        <v>6000</v>
      </c>
      <c r="E92" s="3">
        <f>18974-D92</f>
        <v>12974</v>
      </c>
      <c r="F92" s="3"/>
      <c r="G92" s="3">
        <f>SUM(G79:G90)</f>
        <v>8338.599743542773</v>
      </c>
      <c r="H92" s="3">
        <f>SUM(H79:H90)</f>
        <v>4635.400256457228</v>
      </c>
    </row>
    <row r="94" spans="2:8" ht="15">
      <c r="B94" t="s">
        <v>51</v>
      </c>
      <c r="E94" t="s">
        <v>52</v>
      </c>
      <c r="G94" s="17">
        <f>100*(D92+G92)/(D92+E92)</f>
        <v>75.56972564321057</v>
      </c>
      <c r="H94" t="s">
        <v>54</v>
      </c>
    </row>
    <row r="95" spans="5:8" ht="15">
      <c r="E95" t="s">
        <v>53</v>
      </c>
      <c r="G95" s="17">
        <f>100*H92/(D92+E92)</f>
        <v>24.43027435678944</v>
      </c>
      <c r="H95" t="s">
        <v>54</v>
      </c>
    </row>
  </sheetData>
  <sheetProtection/>
  <printOptions horizontalCentered="1"/>
  <pageMargins left="0.5" right="0.5" top="0.75" bottom="0.75" header="0.3" footer="0.3"/>
  <pageSetup horizontalDpi="600" verticalDpi="600" orientation="portrait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2019-02-19T18:12:20Z</dcterms:modified>
  <cp:category/>
  <cp:version/>
  <cp:contentType/>
  <cp:contentStatus/>
</cp:coreProperties>
</file>